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limate Change\Woodland Carbon Code\Published Documentation\Verification Documents\Year 15 Monitoring Report\"/>
    </mc:Choice>
  </mc:AlternateContent>
  <bookViews>
    <workbookView xWindow="90" yWindow="105" windowWidth="16260" windowHeight="5775" firstSheet="1" activeTab="1"/>
  </bookViews>
  <sheets>
    <sheet name="README- TAB MENU" sheetId="19" r:id="rId1"/>
    <sheet name="Planning - Stratification" sheetId="20" r:id="rId2"/>
    <sheet name="Planning Stratum1_Species" sheetId="15" r:id="rId3"/>
    <sheet name="Stratum1_Seedling" sheetId="9" r:id="rId4"/>
    <sheet name="Stratum1_Sapling" sheetId="10" r:id="rId5"/>
    <sheet name="Stratum1_Tree_Species_1" sheetId="8" r:id="rId6"/>
    <sheet name="Stratum1_Tree_Species_2" sheetId="21" r:id="rId7"/>
    <sheet name="Project_Total_Carbon" sheetId="7" r:id="rId8"/>
    <sheet name="Species_Spacing_Compare" sheetId="13" r:id="rId9"/>
    <sheet name="Lookup Values" sheetId="6" r:id="rId10"/>
  </sheets>
  <definedNames>
    <definedName name="_xlnm._FilterDatabase" localSheetId="9" hidden="1">'Lookup Values'!$N$3:$T$90</definedName>
    <definedName name="Mean_Basal_Area" localSheetId="5">Stratum1_Tree_Species_1!$E$69</definedName>
    <definedName name="Mean_Basal_Area" localSheetId="6">Stratum1_Tree_Species_2!$E$69</definedName>
    <definedName name="Mean_Basal_Area">#REF!</definedName>
    <definedName name="No_Trees_In_Stratum" localSheetId="5">Stratum1_Tree_Species_1!$E$67</definedName>
    <definedName name="No_Trees_In_Stratum" localSheetId="6">Stratum1_Tree_Species_2!$E$67</definedName>
    <definedName name="No_Trees_In_Stratum">#REF!</definedName>
    <definedName name="_xlnm.Print_Area" localSheetId="4">Stratum1_Sapling!$A$1:$O$37</definedName>
    <definedName name="_xlnm.Print_Area" localSheetId="3">Stratum1_Seedling!$B$2:$N$36</definedName>
    <definedName name="_xlnm.Print_Area" localSheetId="5">Stratum1_Tree_Species_1!$A$1:$AF$59</definedName>
    <definedName name="_xlnm.Print_Area" localSheetId="6">Stratum1_Tree_Species_2!$A$1:$AF$59</definedName>
    <definedName name="Quad_Mean_DBH" localSheetId="5">Stratum1_Tree_Species_1!$E$68</definedName>
    <definedName name="Quad_Mean_DBH" localSheetId="6">Stratum1_Tree_Species_2!$E$68</definedName>
    <definedName name="Quad_Mean_DBH">#REF!</definedName>
    <definedName name="SPecies" localSheetId="5">Stratum1_Tree_Species_1!$D$4</definedName>
    <definedName name="SPecies" localSheetId="6">Stratum1_Tree_Species_2!$D$4</definedName>
    <definedName name="SPecies">#REF!</definedName>
    <definedName name="Table_Crown_7_to_50_cm_DBH" localSheetId="9">'Lookup Values'!$AJ$2</definedName>
    <definedName name="Table_Crown_GT_50_cm_DBH" localSheetId="9">'Lookup Values'!$AJ$12</definedName>
    <definedName name="Tarriff_Number" localSheetId="5">Stratum1_Tree_Species_1!$R$64</definedName>
    <definedName name="Tarriff_Number" localSheetId="6">Stratum1_Tree_Species_2!$R$64</definedName>
    <definedName name="Tarriff_Number">#REF!</definedName>
  </definedNames>
  <calcPr calcId="162913"/>
</workbook>
</file>

<file path=xl/calcChain.xml><?xml version="1.0" encoding="utf-8"?>
<calcChain xmlns="http://schemas.openxmlformats.org/spreadsheetml/2006/main">
  <c r="AF6" i="7" l="1"/>
  <c r="C14" i="13"/>
  <c r="I14" i="15" l="1"/>
  <c r="H14" i="15"/>
  <c r="B7" i="7" l="1"/>
  <c r="B6" i="7"/>
  <c r="B10" i="20"/>
  <c r="D4" i="21"/>
  <c r="AB76" i="21" s="1"/>
  <c r="D11" i="21"/>
  <c r="AB11" i="21" s="1"/>
  <c r="D10" i="21"/>
  <c r="D12" i="21" s="1"/>
  <c r="AB12" i="21" s="1"/>
  <c r="D9" i="21"/>
  <c r="AB9" i="21" s="1"/>
  <c r="D2" i="21"/>
  <c r="AB2" i="21" s="1"/>
  <c r="D11" i="8"/>
  <c r="D10" i="8"/>
  <c r="D9" i="8"/>
  <c r="D2" i="8"/>
  <c r="D9" i="10"/>
  <c r="D8" i="10"/>
  <c r="D10" i="10" s="1"/>
  <c r="D7" i="10"/>
  <c r="D2" i="10"/>
  <c r="D9" i="9"/>
  <c r="D8" i="9"/>
  <c r="D7" i="9"/>
  <c r="D2" i="9"/>
  <c r="R66" i="21"/>
  <c r="W53" i="21"/>
  <c r="V53" i="21"/>
  <c r="U53" i="21"/>
  <c r="T53" i="21"/>
  <c r="S53" i="21"/>
  <c r="R53" i="21"/>
  <c r="Q53" i="21"/>
  <c r="P53" i="21"/>
  <c r="O53" i="21"/>
  <c r="N53" i="21"/>
  <c r="M53" i="21"/>
  <c r="L53" i="21"/>
  <c r="K53" i="21"/>
  <c r="J53" i="21"/>
  <c r="I53" i="21"/>
  <c r="H53" i="21"/>
  <c r="G53" i="21"/>
  <c r="F53" i="21"/>
  <c r="E53" i="21"/>
  <c r="D53" i="21"/>
  <c r="C53" i="21"/>
  <c r="X52" i="21"/>
  <c r="Y52" i="21" s="1"/>
  <c r="X51" i="21"/>
  <c r="Y51" i="21" s="1"/>
  <c r="X50" i="21"/>
  <c r="Y50" i="21" s="1"/>
  <c r="X49" i="21"/>
  <c r="Y49" i="21" s="1"/>
  <c r="X48" i="21"/>
  <c r="Y48" i="21" s="1"/>
  <c r="X47" i="21"/>
  <c r="Y47" i="21" s="1"/>
  <c r="X46" i="21"/>
  <c r="Y46" i="21" s="1"/>
  <c r="X45" i="21"/>
  <c r="Y45" i="21" s="1"/>
  <c r="Y44" i="21"/>
  <c r="X44" i="21"/>
  <c r="X43" i="21"/>
  <c r="Y43" i="21" s="1"/>
  <c r="X42" i="21"/>
  <c r="Y42" i="21" s="1"/>
  <c r="X41" i="21"/>
  <c r="Y41" i="21" s="1"/>
  <c r="Y40" i="21"/>
  <c r="X40" i="21"/>
  <c r="X39" i="21"/>
  <c r="Y39" i="21" s="1"/>
  <c r="X38" i="21"/>
  <c r="Y38" i="21" s="1"/>
  <c r="X37" i="21"/>
  <c r="Y37" i="21" s="1"/>
  <c r="X36" i="21"/>
  <c r="Y36" i="21" s="1"/>
  <c r="X35" i="21"/>
  <c r="Y35" i="21" s="1"/>
  <c r="X34" i="21"/>
  <c r="Y34" i="21" s="1"/>
  <c r="X33" i="21"/>
  <c r="Y33" i="21" s="1"/>
  <c r="X32" i="21"/>
  <c r="Y32" i="21" s="1"/>
  <c r="AF31" i="21"/>
  <c r="X31" i="21"/>
  <c r="Y31" i="21" s="1"/>
  <c r="X30" i="21"/>
  <c r="Y30" i="21" s="1"/>
  <c r="X29" i="21"/>
  <c r="Y29" i="21" s="1"/>
  <c r="X28" i="21"/>
  <c r="Y28" i="21" s="1"/>
  <c r="X27" i="21"/>
  <c r="Y27" i="21" s="1"/>
  <c r="X26" i="21"/>
  <c r="Y26" i="21" s="1"/>
  <c r="X25" i="21"/>
  <c r="Y25" i="21" s="1"/>
  <c r="X24" i="21"/>
  <c r="Y24" i="21" s="1"/>
  <c r="X23" i="21"/>
  <c r="Y23" i="21" s="1"/>
  <c r="X22" i="21"/>
  <c r="Y22" i="21" s="1"/>
  <c r="X21" i="21"/>
  <c r="Y21" i="21" s="1"/>
  <c r="X20" i="21"/>
  <c r="Y20" i="21" s="1"/>
  <c r="X19" i="21"/>
  <c r="AB7" i="21"/>
  <c r="AB6" i="21"/>
  <c r="AB3" i="21"/>
  <c r="D11" i="10" l="1"/>
  <c r="AB10" i="21"/>
  <c r="D13" i="21"/>
  <c r="AB13" i="21" s="1"/>
  <c r="L64" i="21"/>
  <c r="J66" i="21" s="1"/>
  <c r="AB73" i="21"/>
  <c r="AB4" i="21"/>
  <c r="E64" i="21"/>
  <c r="AB74" i="21"/>
  <c r="X53" i="21"/>
  <c r="E65" i="21" s="1"/>
  <c r="Y19" i="21"/>
  <c r="Y53" i="21" s="1"/>
  <c r="E66" i="21" l="1"/>
  <c r="E67" i="21" s="1"/>
  <c r="E68" i="21"/>
  <c r="J68" i="21"/>
  <c r="J67" i="21"/>
  <c r="AF23" i="21" s="1"/>
  <c r="J65" i="21"/>
  <c r="AF38" i="21"/>
  <c r="AF51" i="21"/>
  <c r="AF58" i="21"/>
  <c r="AF24" i="21"/>
  <c r="AF40" i="21"/>
  <c r="AF53" i="21"/>
  <c r="AF50" i="21"/>
  <c r="AF34" i="21"/>
  <c r="AF18" i="21"/>
  <c r="AF47" i="21"/>
  <c r="AF27" i="21"/>
  <c r="AF59" i="21"/>
  <c r="AF55" i="21"/>
  <c r="AF28" i="21"/>
  <c r="AF44" i="21"/>
  <c r="AF56" i="21"/>
  <c r="AF54" i="21"/>
  <c r="AF22" i="21"/>
  <c r="AF35" i="21"/>
  <c r="AF33" i="21"/>
  <c r="AF46" i="21"/>
  <c r="E69" i="21"/>
  <c r="AB77" i="21"/>
  <c r="AE77" i="21" s="1"/>
  <c r="AB75" i="21"/>
  <c r="AE75" i="21" s="1"/>
  <c r="AF45" i="21"/>
  <c r="AF37" i="21"/>
  <c r="AF29" i="21"/>
  <c r="AF21" i="21"/>
  <c r="AF43" i="21"/>
  <c r="AF49" i="21"/>
  <c r="AF25" i="21"/>
  <c r="AF32" i="21"/>
  <c r="AF48" i="21"/>
  <c r="AF42" i="21"/>
  <c r="AF26" i="21"/>
  <c r="AF57" i="21"/>
  <c r="AF39" i="21"/>
  <c r="AF19" i="21"/>
  <c r="AF41" i="21"/>
  <c r="AF20" i="21"/>
  <c r="AF36" i="21"/>
  <c r="AF52" i="21"/>
  <c r="G7" i="20"/>
  <c r="G6" i="20"/>
  <c r="C8" i="20"/>
  <c r="D8" i="20"/>
  <c r="E8" i="20"/>
  <c r="F8" i="20"/>
  <c r="B8" i="20"/>
  <c r="D8" i="8" l="1"/>
  <c r="D8" i="21"/>
  <c r="AB8" i="21" s="1"/>
  <c r="D6" i="10"/>
  <c r="D6" i="9"/>
  <c r="AF30" i="21"/>
  <c r="R64" i="21" s="1"/>
  <c r="G8" i="20"/>
  <c r="D4" i="8"/>
  <c r="AB4" i="8" s="1"/>
  <c r="AB10" i="8"/>
  <c r="AB11" i="8"/>
  <c r="N40" i="10"/>
  <c r="AB68" i="21" l="1"/>
  <c r="AB67" i="21" s="1"/>
  <c r="AB70" i="21" s="1"/>
  <c r="AB71" i="21" s="1"/>
  <c r="AE70" i="21" s="1"/>
  <c r="AE73" i="21" s="1"/>
  <c r="N41" i="9"/>
  <c r="N40" i="9"/>
  <c r="G41" i="9"/>
  <c r="G40" i="9"/>
  <c r="AE78" i="21" l="1"/>
  <c r="AB76" i="8"/>
  <c r="AB74" i="8"/>
  <c r="AB73" i="8"/>
  <c r="AE80" i="21" l="1"/>
  <c r="C7" i="7" s="1"/>
  <c r="AB80" i="21"/>
  <c r="AD6" i="7"/>
  <c r="AC6" i="7"/>
  <c r="AA6" i="7"/>
  <c r="Z6" i="7"/>
  <c r="AB3" i="8" l="1"/>
  <c r="AB6" i="8"/>
  <c r="AB7" i="8"/>
  <c r="AB8" i="8"/>
  <c r="AB2" i="8"/>
  <c r="L64" i="8" l="1"/>
  <c r="J68" i="8" s="1"/>
  <c r="J65" i="8" l="1"/>
  <c r="J66" i="8"/>
  <c r="J67" i="8"/>
  <c r="R66" i="8"/>
  <c r="AF59" i="8" l="1"/>
  <c r="C15" i="7"/>
  <c r="D15" i="7"/>
  <c r="B15" i="7"/>
  <c r="AB9" i="8"/>
  <c r="C15" i="13" l="1"/>
  <c r="E24" i="13"/>
  <c r="E25" i="13"/>
  <c r="E27" i="13"/>
  <c r="H13" i="13"/>
  <c r="E64" i="8"/>
  <c r="W53" i="8"/>
  <c r="O53" i="8"/>
  <c r="P53" i="8"/>
  <c r="Q53" i="8"/>
  <c r="R53" i="8"/>
  <c r="S53" i="8"/>
  <c r="T53" i="8"/>
  <c r="U53" i="8"/>
  <c r="V53" i="8"/>
  <c r="X20" i="8"/>
  <c r="X21" i="8"/>
  <c r="X22" i="8"/>
  <c r="X23" i="8"/>
  <c r="X24" i="8"/>
  <c r="X25" i="8"/>
  <c r="X26" i="8"/>
  <c r="X27" i="8"/>
  <c r="X28" i="8"/>
  <c r="X29" i="8"/>
  <c r="X30" i="8"/>
  <c r="X31" i="8"/>
  <c r="X32" i="8"/>
  <c r="X33" i="8"/>
  <c r="X34" i="8"/>
  <c r="X35" i="8"/>
  <c r="X36" i="8"/>
  <c r="X37" i="8"/>
  <c r="X38" i="8"/>
  <c r="X39" i="8"/>
  <c r="X40" i="8"/>
  <c r="X41" i="8"/>
  <c r="X42" i="8"/>
  <c r="X43" i="8"/>
  <c r="X44" i="8"/>
  <c r="X45" i="8"/>
  <c r="X46" i="8"/>
  <c r="X47" i="8"/>
  <c r="X48" i="8"/>
  <c r="X49" i="8"/>
  <c r="X50" i="8"/>
  <c r="X51" i="8"/>
  <c r="X19" i="8"/>
  <c r="Y19" i="8" s="1"/>
  <c r="I13" i="13" l="1"/>
  <c r="C16" i="13" s="1"/>
  <c r="G44" i="10"/>
  <c r="N43" i="10"/>
  <c r="G43" i="10"/>
  <c r="N41" i="10"/>
  <c r="G41" i="10"/>
  <c r="G40" i="10"/>
  <c r="D10" i="9"/>
  <c r="D11" i="9" s="1"/>
  <c r="N43" i="9"/>
  <c r="G43" i="9"/>
  <c r="N53" i="8"/>
  <c r="X52" i="8" s="1"/>
  <c r="Y52" i="8" s="1"/>
  <c r="M53" i="8"/>
  <c r="L53" i="8"/>
  <c r="K53" i="8"/>
  <c r="J53" i="8"/>
  <c r="I53" i="8"/>
  <c r="H53" i="8"/>
  <c r="G53" i="8"/>
  <c r="F53" i="8"/>
  <c r="E53" i="8"/>
  <c r="D53" i="8"/>
  <c r="C53" i="8"/>
  <c r="Y51" i="8"/>
  <c r="Y50" i="8"/>
  <c r="Y49" i="8"/>
  <c r="Y48" i="8"/>
  <c r="Y47" i="8"/>
  <c r="Y46" i="8"/>
  <c r="Y45" i="8"/>
  <c r="Y44" i="8"/>
  <c r="Y43" i="8"/>
  <c r="Y42" i="8"/>
  <c r="Y41" i="8"/>
  <c r="Y40" i="8"/>
  <c r="Y39" i="8"/>
  <c r="Y38" i="8"/>
  <c r="Y37" i="8"/>
  <c r="Y36" i="8"/>
  <c r="Y35" i="8"/>
  <c r="Y34" i="8"/>
  <c r="Y33" i="8"/>
  <c r="Y32" i="8"/>
  <c r="Y31" i="8"/>
  <c r="Y30" i="8"/>
  <c r="Y29" i="8"/>
  <c r="Y28" i="8"/>
  <c r="Y27" i="8"/>
  <c r="Y26" i="8"/>
  <c r="Y25" i="8"/>
  <c r="Y24" i="8"/>
  <c r="Y23" i="8"/>
  <c r="Y22" i="8"/>
  <c r="Y21" i="8"/>
  <c r="Y20" i="8"/>
  <c r="D12" i="8"/>
  <c r="D13" i="8" l="1"/>
  <c r="AB12" i="8"/>
  <c r="G42" i="10"/>
  <c r="G42" i="9"/>
  <c r="E23" i="13"/>
  <c r="N42" i="9"/>
  <c r="AF45" i="8"/>
  <c r="AF49" i="8"/>
  <c r="AF53" i="8"/>
  <c r="AF57" i="8"/>
  <c r="AF58" i="8"/>
  <c r="AF47" i="8"/>
  <c r="AF55" i="8"/>
  <c r="AF44" i="8"/>
  <c r="AF52" i="8"/>
  <c r="AF42" i="8"/>
  <c r="AF46" i="8"/>
  <c r="AF50" i="8"/>
  <c r="AF54" i="8"/>
  <c r="AF43" i="8"/>
  <c r="AF51" i="8"/>
  <c r="AF48" i="8"/>
  <c r="AF56" i="8"/>
  <c r="AF38" i="8"/>
  <c r="AF18" i="8"/>
  <c r="X53" i="8"/>
  <c r="E65" i="8" s="1"/>
  <c r="N44" i="10"/>
  <c r="N45" i="10" s="1"/>
  <c r="N44" i="9"/>
  <c r="N45" i="9" s="1"/>
  <c r="G44" i="9"/>
  <c r="G45" i="9" s="1"/>
  <c r="AF25" i="8"/>
  <c r="AF33" i="8"/>
  <c r="AF37" i="8"/>
  <c r="AF20" i="8"/>
  <c r="AF36" i="8"/>
  <c r="AF40" i="8"/>
  <c r="AF19" i="8"/>
  <c r="AF23" i="8"/>
  <c r="AF27" i="8"/>
  <c r="AF31" i="8"/>
  <c r="AF35" i="8"/>
  <c r="AF39" i="8"/>
  <c r="AF21" i="8"/>
  <c r="AF29" i="8"/>
  <c r="AF41" i="8"/>
  <c r="Y53" i="8"/>
  <c r="AF24" i="8"/>
  <c r="AF28" i="8"/>
  <c r="AF32" i="8"/>
  <c r="AF22" i="8"/>
  <c r="AF26" i="8"/>
  <c r="AF30" i="8"/>
  <c r="AF34" i="8"/>
  <c r="AC5" i="7"/>
  <c r="AD5" i="7"/>
  <c r="AD4" i="7"/>
  <c r="AC4" i="7"/>
  <c r="Z5" i="7"/>
  <c r="AA5" i="7"/>
  <c r="AA4" i="7"/>
  <c r="Z4" i="7"/>
  <c r="E68" i="8" l="1"/>
  <c r="N47" i="10"/>
  <c r="N47" i="9"/>
  <c r="N48" i="9" s="1"/>
  <c r="AB13" i="8"/>
  <c r="E66" i="8"/>
  <c r="E67" i="8" s="1"/>
  <c r="D28" i="13"/>
  <c r="G45" i="10"/>
  <c r="R64" i="8"/>
  <c r="G47" i="9"/>
  <c r="G48" i="9" s="1"/>
  <c r="AB4" i="7"/>
  <c r="AE4" i="7" s="1"/>
  <c r="B28" i="13"/>
  <c r="AF4" i="7" l="1"/>
  <c r="AG4" i="7" s="1"/>
  <c r="E22" i="13"/>
  <c r="G47" i="10"/>
  <c r="G48" i="10" s="1"/>
  <c r="AB77" i="8"/>
  <c r="AE77" i="8" s="1"/>
  <c r="AB75" i="8"/>
  <c r="AE75" i="8" s="1"/>
  <c r="E26" i="13"/>
  <c r="E28" i="13" s="1"/>
  <c r="E29" i="13" s="1"/>
  <c r="E69" i="8"/>
  <c r="S41" i="9"/>
  <c r="C4" i="7" s="1"/>
  <c r="S40" i="9"/>
  <c r="AB68" i="8"/>
  <c r="AB67" i="8" s="1"/>
  <c r="D10" i="7"/>
  <c r="E10" i="7"/>
  <c r="F10" i="7"/>
  <c r="G7" i="7"/>
  <c r="G8" i="7"/>
  <c r="G9" i="7"/>
  <c r="E30" i="13" l="1"/>
  <c r="E31" i="13"/>
  <c r="C28" i="13"/>
  <c r="F26" i="13"/>
  <c r="F23" i="13"/>
  <c r="F25" i="13"/>
  <c r="F24" i="13"/>
  <c r="F27" i="13"/>
  <c r="F22" i="13"/>
  <c r="AB70" i="8"/>
  <c r="F28" i="13" l="1"/>
  <c r="AB71" i="8"/>
  <c r="AE70" i="8" s="1"/>
  <c r="AE73" i="8" l="1"/>
  <c r="G4" i="7"/>
  <c r="AE78" i="8" l="1"/>
  <c r="AB80" i="8" s="1"/>
  <c r="AE80" i="8" l="1"/>
  <c r="C6" i="7" l="1"/>
  <c r="G6" i="7" s="1"/>
  <c r="AB5" i="7"/>
  <c r="AE5" i="7" s="1"/>
  <c r="AF5" i="7" l="1"/>
  <c r="AG5" i="7" s="1"/>
  <c r="N42" i="10"/>
  <c r="S40" i="10"/>
  <c r="N48" i="10" l="1"/>
  <c r="S41" i="10" s="1"/>
  <c r="C5" i="7" s="1"/>
  <c r="C10" i="7" l="1"/>
  <c r="G10" i="7" s="1"/>
  <c r="Y6" i="7" s="1"/>
  <c r="AB6" i="7" s="1"/>
  <c r="AE6" i="7" s="1"/>
  <c r="G5" i="7"/>
  <c r="B16" i="7" l="1"/>
  <c r="C16" i="7"/>
  <c r="C18" i="7" l="1"/>
  <c r="C17" i="7"/>
  <c r="AG6" i="7"/>
  <c r="D16" i="7" s="1"/>
  <c r="B17" i="7"/>
  <c r="B18" i="7"/>
  <c r="D18" i="7" l="1"/>
  <c r="D17" i="7"/>
</calcChain>
</file>

<file path=xl/sharedStrings.xml><?xml version="1.0" encoding="utf-8"?>
<sst xmlns="http://schemas.openxmlformats.org/spreadsheetml/2006/main" count="1236" uniqueCount="480">
  <si>
    <t>TOTAL</t>
  </si>
  <si>
    <t>Plot Number</t>
  </si>
  <si>
    <t>Total</t>
  </si>
  <si>
    <t>Species</t>
  </si>
  <si>
    <t>DBH (cm)</t>
  </si>
  <si>
    <t>Number of plots</t>
  </si>
  <si>
    <t>No of trees in plots</t>
  </si>
  <si>
    <t>No*DBH^2</t>
  </si>
  <si>
    <t>a1</t>
  </si>
  <si>
    <t>a2</t>
  </si>
  <si>
    <t>a3</t>
  </si>
  <si>
    <t>species</t>
  </si>
  <si>
    <t>CP</t>
  </si>
  <si>
    <t>DF</t>
  </si>
  <si>
    <t>EL</t>
  </si>
  <si>
    <t>GF</t>
  </si>
  <si>
    <t>JL</t>
  </si>
  <si>
    <t>LP</t>
  </si>
  <si>
    <t>NF</t>
  </si>
  <si>
    <t>NS</t>
  </si>
  <si>
    <t>SP</t>
  </si>
  <si>
    <t>SS</t>
  </si>
  <si>
    <t>WH</t>
  </si>
  <si>
    <t>WRC</t>
  </si>
  <si>
    <t>Constant 1</t>
  </si>
  <si>
    <t>Constant 2</t>
  </si>
  <si>
    <t>Constant 3</t>
  </si>
  <si>
    <t>Constant 4</t>
  </si>
  <si>
    <t>Per tree</t>
  </si>
  <si>
    <t>Per stratum</t>
  </si>
  <si>
    <t>BIOMASS</t>
  </si>
  <si>
    <t>Volume</t>
  </si>
  <si>
    <t>Woodland Name:</t>
  </si>
  <si>
    <t>Stratum Number:</t>
  </si>
  <si>
    <t>Measured By:</t>
  </si>
  <si>
    <t>Plot NO</t>
  </si>
  <si>
    <t>No of saplings</t>
  </si>
  <si>
    <t>Gross Area stratum:</t>
  </si>
  <si>
    <t xml:space="preserve">Net Area stratum:  </t>
  </si>
  <si>
    <t>BROADLEAVES</t>
  </si>
  <si>
    <t>CONIFERS</t>
  </si>
  <si>
    <t>Number of BL heights measured:</t>
  </si>
  <si>
    <t>Total # of BL seedlings sampled</t>
  </si>
  <si>
    <t>BL Seedlings per hectare</t>
  </si>
  <si>
    <t>BL Seedlings per stratum</t>
  </si>
  <si>
    <t>Number of CON heights measured:</t>
  </si>
  <si>
    <t>Sum of CON heights measured:</t>
  </si>
  <si>
    <t>Total # of CON seedlings sampled</t>
  </si>
  <si>
    <t>CON Seedlings per hectare</t>
  </si>
  <si>
    <t>CON Seedlings per stratum</t>
  </si>
  <si>
    <t>Conifers</t>
  </si>
  <si>
    <t>Broadleaves</t>
  </si>
  <si>
    <t>Mean seedling height (cm)</t>
  </si>
  <si>
    <t>C per thousand seedlings (tC)</t>
  </si>
  <si>
    <t>SEEDLINGS - Table 6.1.1 and 6.1.2 of  from Carbon Assessment Protocol</t>
  </si>
  <si>
    <t>Saplings - Table 6.1.3 and 6.1.4 from Carbon Assessment Protocol</t>
  </si>
  <si>
    <t>Mean height (m)</t>
  </si>
  <si>
    <t>Carbon  per stem (tC)</t>
  </si>
  <si>
    <t>C per stem (tC)</t>
  </si>
  <si>
    <t>Tree heights measured (m)</t>
  </si>
  <si>
    <t>Total # of BL saplings sampled</t>
  </si>
  <si>
    <t>BL Saplings per hectare</t>
  </si>
  <si>
    <t>BL Saplings per stratum</t>
  </si>
  <si>
    <t>CON Saplings per hectare</t>
  </si>
  <si>
    <t>CON Saplings per stratum</t>
  </si>
  <si>
    <t>Total # of CON saplings sampled</t>
  </si>
  <si>
    <t>a4</t>
  </si>
  <si>
    <t>Con or BL</t>
  </si>
  <si>
    <t>Conifer</t>
  </si>
  <si>
    <t>Broadleaved</t>
  </si>
  <si>
    <t>OK</t>
  </si>
  <si>
    <t>BE</t>
  </si>
  <si>
    <t>BI</t>
  </si>
  <si>
    <t>PO</t>
  </si>
  <si>
    <t>SY</t>
  </si>
  <si>
    <t>ASH</t>
  </si>
  <si>
    <t>Total Height (Conifer) or Timber Height (Broadleaves) (m)</t>
  </si>
  <si>
    <t>Tarriff Number (rounded)</t>
  </si>
  <si>
    <t>Constants for the Tarriff Number (Equation 2 Method B: Broadleaves and Equation 3 Method C: Conifers)</t>
  </si>
  <si>
    <t>Sample tree number</t>
  </si>
  <si>
    <t>Multiplication factor</t>
  </si>
  <si>
    <t>Table 4.1.9 Convert Mean Merchantable Volume to Meant Total Stem Volume</t>
  </si>
  <si>
    <t>Mean dbh (cm)</t>
  </si>
  <si>
    <t>Nominal Specific Gravity</t>
  </si>
  <si>
    <t>JCR</t>
  </si>
  <si>
    <t>XF</t>
  </si>
  <si>
    <t>wych elm</t>
  </si>
  <si>
    <t>BCH</t>
  </si>
  <si>
    <t>MAP</t>
  </si>
  <si>
    <t>WEP</t>
  </si>
  <si>
    <t>OMS</t>
  </si>
  <si>
    <t>HL</t>
  </si>
  <si>
    <t>RC</t>
  </si>
  <si>
    <t>LC</t>
  </si>
  <si>
    <t>LEC</t>
  </si>
  <si>
    <t>ESF</t>
  </si>
  <si>
    <t>ROK</t>
  </si>
  <si>
    <t>AH</t>
  </si>
  <si>
    <t>SC</t>
  </si>
  <si>
    <t>HCH</t>
  </si>
  <si>
    <t>AR</t>
  </si>
  <si>
    <t>LI</t>
  </si>
  <si>
    <t>EM</t>
  </si>
  <si>
    <t>WCH</t>
  </si>
  <si>
    <t>HBM</t>
  </si>
  <si>
    <t>RSQ</t>
  </si>
  <si>
    <t>WSQ</t>
  </si>
  <si>
    <t>POK</t>
  </si>
  <si>
    <t>SOK</t>
  </si>
  <si>
    <t>NOM</t>
  </si>
  <si>
    <t>RON</t>
  </si>
  <si>
    <t>XB</t>
  </si>
  <si>
    <t>CAR</t>
  </si>
  <si>
    <t>GAR</t>
  </si>
  <si>
    <t>RAR</t>
  </si>
  <si>
    <t>SAR</t>
  </si>
  <si>
    <t>VAR</t>
  </si>
  <si>
    <t>CLI</t>
  </si>
  <si>
    <t>SLI</t>
  </si>
  <si>
    <t>LLI</t>
  </si>
  <si>
    <t>EEM</t>
  </si>
  <si>
    <t>SEM</t>
  </si>
  <si>
    <t>Japenese cedar</t>
  </si>
  <si>
    <t>coast redwood</t>
  </si>
  <si>
    <t>Wellingtonia (giant redwood)</t>
  </si>
  <si>
    <t>Other Firs</t>
  </si>
  <si>
    <t>Pedunculate oak</t>
  </si>
  <si>
    <t>Sessile oak</t>
  </si>
  <si>
    <t>Norway Maple</t>
  </si>
  <si>
    <t>Other Broadleaves</t>
  </si>
  <si>
    <t>Scots pine</t>
  </si>
  <si>
    <t>Corsican pine</t>
  </si>
  <si>
    <t>lodgepole pine</t>
  </si>
  <si>
    <t>maritime pine</t>
  </si>
  <si>
    <t>Weymouth pine</t>
  </si>
  <si>
    <t>Sitka spruce</t>
  </si>
  <si>
    <t>Norway spruce</t>
  </si>
  <si>
    <t>Omorika spruce</t>
  </si>
  <si>
    <t>European larch</t>
  </si>
  <si>
    <t>Japanese larch</t>
  </si>
  <si>
    <t>hybrid larch</t>
  </si>
  <si>
    <t>Douglas fir</t>
  </si>
  <si>
    <t>western hemlock</t>
  </si>
  <si>
    <t>western red cedar</t>
  </si>
  <si>
    <t>Lawson cypress</t>
  </si>
  <si>
    <t>Leyland cypress</t>
  </si>
  <si>
    <t>grand fir</t>
  </si>
  <si>
    <t>noble fir</t>
  </si>
  <si>
    <t>silver fir</t>
  </si>
  <si>
    <t>oak</t>
  </si>
  <si>
    <t>red oak</t>
  </si>
  <si>
    <t>beech</t>
  </si>
  <si>
    <t>sycamore</t>
  </si>
  <si>
    <t>ash</t>
  </si>
  <si>
    <t>birch</t>
  </si>
  <si>
    <t>poplar</t>
  </si>
  <si>
    <t>sweet chestnut</t>
  </si>
  <si>
    <t>horse chestnut</t>
  </si>
  <si>
    <t>lime</t>
  </si>
  <si>
    <t>elm</t>
  </si>
  <si>
    <t>wild cherry, gean</t>
  </si>
  <si>
    <t>hornbeam</t>
  </si>
  <si>
    <t>Small leaved lime</t>
  </si>
  <si>
    <t>Large leaved lime</t>
  </si>
  <si>
    <t>Smooth leaved elm</t>
  </si>
  <si>
    <t>English elm</t>
  </si>
  <si>
    <t>Common lime</t>
  </si>
  <si>
    <t>Red alder</t>
  </si>
  <si>
    <t>Species Code</t>
  </si>
  <si>
    <t>bird cherry</t>
  </si>
  <si>
    <t>common alder</t>
  </si>
  <si>
    <t>Table 5.2.1 Nominal Specific Gravity of timber from various species (from Lavers and Moore, 1983)</t>
  </si>
  <si>
    <t>Species Code:</t>
  </si>
  <si>
    <t xml:space="preserve">Broadleaved  </t>
  </si>
  <si>
    <t>Broadleaved or Conifer?</t>
  </si>
  <si>
    <t>Holly</t>
  </si>
  <si>
    <t>Macedonian pine</t>
  </si>
  <si>
    <t>Other conifers</t>
  </si>
  <si>
    <t>aspen</t>
  </si>
  <si>
    <t>Species/species group</t>
  </si>
  <si>
    <t>B</t>
  </si>
  <si>
    <t>p</t>
  </si>
  <si>
    <t>Larches</t>
  </si>
  <si>
    <t>firs, spruces, cedars and hemlocks</t>
  </si>
  <si>
    <t>Beech</t>
  </si>
  <si>
    <t>Oak</t>
  </si>
  <si>
    <t>A</t>
  </si>
  <si>
    <t>b</t>
  </si>
  <si>
    <t>western red cedar, noble fir, Corsican pine</t>
  </si>
  <si>
    <t>grand fir, Scots pine, western hemlock</t>
  </si>
  <si>
    <t>Douglas fir, Japanese larch, lodgepole pine</t>
  </si>
  <si>
    <t>red alder</t>
  </si>
  <si>
    <t>Table 5.2.4: Species/group-specific coefficients for Equation 8, the root biomass equation for trees up to and including 30 cm dbh</t>
  </si>
  <si>
    <t>Table 5.2.2: Species/group-specific coefficients for Equation 6, the crown biomass equation for trees between 7 cm and 50 cm dbh</t>
  </si>
  <si>
    <r>
      <t xml:space="preserve">Table 5.2.5:  Species/group-specific coefficients for </t>
    </r>
    <r>
      <rPr>
        <b/>
        <sz val="14"/>
        <color rgb="FF004E2E"/>
        <rFont val="Verdana"/>
        <family val="2"/>
      </rPr>
      <t>Equation 9</t>
    </r>
    <r>
      <rPr>
        <b/>
        <sz val="14"/>
        <color theme="1"/>
        <rFont val="Verdana"/>
        <family val="2"/>
      </rPr>
      <t>, the root biomass equation for trees greater than 30 cm dbh.</t>
    </r>
  </si>
  <si>
    <t>Table 5.2.3: Species/group-specific coefficients for Equation 7, the crown biomass equation for trees greater than 50 cm dbh.</t>
  </si>
  <si>
    <t>Other pines</t>
  </si>
  <si>
    <t>dawn redwood</t>
  </si>
  <si>
    <t>Nordmann fir</t>
  </si>
  <si>
    <t>juniper</t>
  </si>
  <si>
    <t>Yew</t>
  </si>
  <si>
    <t>Species-group for crown biomass coefficients</t>
  </si>
  <si>
    <t>species group for root biomass coefficients</t>
  </si>
  <si>
    <t>crab apple</t>
  </si>
  <si>
    <t>blackthorn</t>
  </si>
  <si>
    <t>eucalyptus</t>
  </si>
  <si>
    <t>hawthorn</t>
  </si>
  <si>
    <t>hazel</t>
  </si>
  <si>
    <t>rowan</t>
  </si>
  <si>
    <t>walnut</t>
  </si>
  <si>
    <t>whitebeam</t>
  </si>
  <si>
    <t>willow</t>
  </si>
  <si>
    <t>Table 5.2.6 and 5.2.7 combined:  Species mapping for crown and root biomass coefficients</t>
  </si>
  <si>
    <t>Crown biomass species group</t>
  </si>
  <si>
    <t>Root biomass species group</t>
  </si>
  <si>
    <t>Constant a1</t>
  </si>
  <si>
    <t>Constant a2</t>
  </si>
  <si>
    <t>Constant a3</t>
  </si>
  <si>
    <t>constant a4</t>
  </si>
  <si>
    <t>Tarriff Number - constants for this species</t>
  </si>
  <si>
    <t>Seedlings</t>
  </si>
  <si>
    <t>Saplings</t>
  </si>
  <si>
    <t>Tree species 1</t>
  </si>
  <si>
    <t>Tree species 3</t>
  </si>
  <si>
    <t>Tree species 4</t>
  </si>
  <si>
    <t>Tree species 5</t>
  </si>
  <si>
    <t>[insert species name]</t>
  </si>
  <si>
    <t xml:space="preserve">Planned and actual units delivered within the Vintage under assessment  </t>
  </si>
  <si>
    <t>Vintage Start Date:</t>
  </si>
  <si>
    <t>Vintage End Date:</t>
  </si>
  <si>
    <t>PIUs to be cancelled</t>
  </si>
  <si>
    <t>Extra WCUs to be issued</t>
  </si>
  <si>
    <t>Total CO2  sequestered to date</t>
  </si>
  <si>
    <t>Cumulative to Year</t>
  </si>
  <si>
    <r>
      <t>A:</t>
    </r>
    <r>
      <rPr>
        <b/>
        <sz val="11"/>
        <rFont val="Arial"/>
        <family val="2"/>
      </rPr>
      <t xml:space="preserve">  </t>
    </r>
  </si>
  <si>
    <r>
      <t>B = 80% of A</t>
    </r>
    <r>
      <rPr>
        <b/>
        <sz val="11"/>
        <rFont val="Arial"/>
        <family val="2"/>
      </rPr>
      <t xml:space="preserve"> </t>
    </r>
  </si>
  <si>
    <t>C: Negative</t>
  </si>
  <si>
    <t xml:space="preserve">D: </t>
  </si>
  <si>
    <t xml:space="preserve">E= B+C+D:  </t>
  </si>
  <si>
    <t>F:</t>
  </si>
  <si>
    <t>G:</t>
  </si>
  <si>
    <t>H=E+F-G</t>
  </si>
  <si>
    <t>J=H-I</t>
  </si>
  <si>
    <r>
      <t>Cumulative Carbon Sequestrn from lookup tables (tCO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e)</t>
    </r>
  </si>
  <si>
    <r>
      <t>Cumulative Carbon Sequestrn Less 20% model precision (tCO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e)</t>
    </r>
  </si>
  <si>
    <r>
      <t>Removal of vegtn and/or Establishment Emissions (tCO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e)</t>
    </r>
  </si>
  <si>
    <r>
      <t>Cumulative Soil Carbon (loss in year 1 and cumulative accumuln if relevant) (tCO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e)</t>
    </r>
  </si>
  <si>
    <r>
      <t>Total Project Carbon Sequestration (tCO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e)</t>
    </r>
  </si>
  <si>
    <r>
      <t>Baseline (tCO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e)</t>
    </r>
  </si>
  <si>
    <r>
      <t>Leakage (tCO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e) [Emissions are negative]</t>
    </r>
  </si>
  <si>
    <r>
      <t>Net Project Carbon Sequestration adjusted for Baseline and Leakage (tCO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e)</t>
    </r>
  </si>
  <si>
    <r>
      <t>Claimable Carbon Sequestration (tCO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e)</t>
    </r>
  </si>
  <si>
    <r>
      <t>x% Contribution to buffer (tCO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e)</t>
    </r>
  </si>
  <si>
    <t>For Tarriff use this species</t>
  </si>
  <si>
    <t>Table A7.1 from Matthews and Mackie (2006)</t>
  </si>
  <si>
    <t>Field Maple</t>
  </si>
  <si>
    <t>grey alder</t>
  </si>
  <si>
    <t>London plane</t>
  </si>
  <si>
    <t>Italian alder</t>
  </si>
  <si>
    <t>bishop pine</t>
  </si>
  <si>
    <t>blue spruce</t>
  </si>
  <si>
    <t>Englemann spruce</t>
  </si>
  <si>
    <t>Monterey cypress</t>
  </si>
  <si>
    <t>Nootka cypress</t>
  </si>
  <si>
    <t>oriental spruce</t>
  </si>
  <si>
    <t>Siberian fir</t>
  </si>
  <si>
    <t>western red pine</t>
  </si>
  <si>
    <t>white spruce</t>
  </si>
  <si>
    <t>For Nominal Specific Gravity use this</t>
  </si>
  <si>
    <t>alder</t>
  </si>
  <si>
    <t>MCP</t>
  </si>
  <si>
    <t>XC</t>
  </si>
  <si>
    <t>XP</t>
  </si>
  <si>
    <t>ASP</t>
  </si>
  <si>
    <t>TREES - Lookups</t>
  </si>
  <si>
    <t>Table 5.2.1 Nominal Specific Gravity</t>
  </si>
  <si>
    <t>wild cherry</t>
  </si>
  <si>
    <t>BIP</t>
  </si>
  <si>
    <t>PDP</t>
  </si>
  <si>
    <t>roble/southern beech</t>
  </si>
  <si>
    <t>Omorika/Serbian spruce</t>
  </si>
  <si>
    <t>rauli/southern beech</t>
  </si>
  <si>
    <t>Monterey/Radiata pine</t>
  </si>
  <si>
    <t>RAP</t>
  </si>
  <si>
    <t>European silver fir</t>
  </si>
  <si>
    <t>birch (downy/silver)</t>
  </si>
  <si>
    <t>Ponderosa pine</t>
  </si>
  <si>
    <t>No of seedlings</t>
  </si>
  <si>
    <t>Grid Reference</t>
  </si>
  <si>
    <t>m</t>
  </si>
  <si>
    <t>Sectn No:</t>
  </si>
  <si>
    <t>Actual Species</t>
  </si>
  <si>
    <t>Actual Spacing (m)</t>
  </si>
  <si>
    <t>Scenario/ Model from Lookup Table</t>
  </si>
  <si>
    <t>Spacing used in Lookup tables (m)</t>
  </si>
  <si>
    <t>Yield Class Used in Lookup Tables (Get from ESC)</t>
  </si>
  <si>
    <t>Management Regime from Lookup Tables</t>
  </si>
  <si>
    <t xml:space="preserve">% of Area if mixture </t>
  </si>
  <si>
    <t xml:space="preserve">Area (ha) </t>
  </si>
  <si>
    <t>Total Area</t>
  </si>
  <si>
    <t>Species from Year 15 Survey</t>
  </si>
  <si>
    <t xml:space="preserve">% </t>
  </si>
  <si>
    <t>Species Mix/ Yield Class from PDD/ Validation</t>
  </si>
  <si>
    <t>Total # trees</t>
  </si>
  <si>
    <t>Stocking density</t>
  </si>
  <si>
    <t>NET AREA:</t>
  </si>
  <si>
    <t>Average spacing</t>
  </si>
  <si>
    <t>stems/ha</t>
  </si>
  <si>
    <t>From PDD</t>
  </si>
  <si>
    <t>Net Area</t>
  </si>
  <si>
    <t>From year 15 ssurvey</t>
  </si>
  <si>
    <t>Number of trees</t>
  </si>
  <si>
    <t>XS</t>
  </si>
  <si>
    <t>XEU</t>
  </si>
  <si>
    <t>IAR</t>
  </si>
  <si>
    <t>NMF</t>
  </si>
  <si>
    <t>ORS</t>
  </si>
  <si>
    <t>RAN</t>
  </si>
  <si>
    <t>JRE</t>
  </si>
  <si>
    <t>WHI</t>
  </si>
  <si>
    <t>XWL</t>
  </si>
  <si>
    <t>WEM</t>
  </si>
  <si>
    <t>YEW</t>
  </si>
  <si>
    <t>Sitka alder</t>
  </si>
  <si>
    <t>Green Alder</t>
  </si>
  <si>
    <t>Main Species</t>
  </si>
  <si>
    <t>Species to use for Tarriff Number</t>
  </si>
  <si>
    <t>rauli</t>
  </si>
  <si>
    <t>Sum of BL heights measured:</t>
  </si>
  <si>
    <r>
      <t xml:space="preserve">Net Carbon Sequestration. </t>
    </r>
    <r>
      <rPr>
        <b/>
        <sz val="12"/>
        <color rgb="FFFF0000"/>
        <rFont val="Verdana"/>
        <family val="2"/>
      </rPr>
      <t xml:space="preserve"> Column A contains actual survey results</t>
    </r>
  </si>
  <si>
    <t>Main Species (list one)</t>
  </si>
  <si>
    <t>C in BL seedlings (tC)</t>
  </si>
  <si>
    <t>CO2 in BL seedlings (tCO2)</t>
  </si>
  <si>
    <t>C in CON seedlings (tC)</t>
  </si>
  <si>
    <t>CO2 in CON seedlings (tCO2)</t>
  </si>
  <si>
    <t xml:space="preserve">CON/BL Seedling total (tC) </t>
  </si>
  <si>
    <t>CON/BL seedling total (tCO2)</t>
  </si>
  <si>
    <t>** Only measure the 3 Broadleaves closest to the centre</t>
  </si>
  <si>
    <t>Con/BL Sapling total (tC)</t>
  </si>
  <si>
    <t>Con/BL Sapling total (tCO2)</t>
  </si>
  <si>
    <t>Sum of BL heights measured (m):</t>
  </si>
  <si>
    <t>Number of BL heights measured (m):</t>
  </si>
  <si>
    <t>C in BL saplings (tC)</t>
  </si>
  <si>
    <t>CO2 in BL saplings (tCO2)</t>
  </si>
  <si>
    <t>C in CON saplings (tC)</t>
  </si>
  <si>
    <t>CO2 in CON saplings (tCO2)</t>
  </si>
  <si>
    <t>Sum of CON heights measured (m):</t>
  </si>
  <si>
    <t>** Only measure the 3 conifers closest to the centre</t>
  </si>
  <si>
    <t>Main          Species</t>
  </si>
  <si>
    <t>Ave height of BL trees measured (m):</t>
  </si>
  <si>
    <t>Average height of CON trees measured (m):</t>
  </si>
  <si>
    <t>Plot radius (m):</t>
  </si>
  <si>
    <t>Mean basal area of sample trees (m3)</t>
  </si>
  <si>
    <t>Quadratic mean dbh (cm)</t>
  </si>
  <si>
    <t>No of trees in stratum (#)</t>
  </si>
  <si>
    <t>Trees/ha</t>
  </si>
  <si>
    <t>Rating up No of Trees</t>
  </si>
  <si>
    <t>Average total height (conifer), timber height (BLs) (m)</t>
  </si>
  <si>
    <t>Average Single Tree Tarriff Number (Rounded Down)</t>
  </si>
  <si>
    <t>Tarriff Number, Yield Class, Ave Total Height, Total Top Height</t>
  </si>
  <si>
    <t>Total stem volume of stratum (m3)</t>
  </si>
  <si>
    <t>Total stem Biomass (odt)</t>
  </si>
  <si>
    <t>Total carbon dioxide (tCO2)</t>
  </si>
  <si>
    <t>Total biomass (odt)</t>
  </si>
  <si>
    <t>Total root biomass (odt)</t>
  </si>
  <si>
    <t>Total crown biomass (odt)</t>
  </si>
  <si>
    <t>Total Carbon (tC)</t>
  </si>
  <si>
    <t>Crown biomass per tree (odt)</t>
  </si>
  <si>
    <t>Root biomass per tree (odt)</t>
  </si>
  <si>
    <t>Constants to calculate Mean Merchantable Tree Volume</t>
  </si>
  <si>
    <t>CARBON</t>
  </si>
  <si>
    <r>
      <t>Actual Biomass Sequestration (tCO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e)</t>
    </r>
  </si>
  <si>
    <t>Seedling, Sapling or Tree species in the stratum</t>
  </si>
  <si>
    <t>Date Measured:</t>
  </si>
  <si>
    <t>Ave height of CON trees measured (cm)</t>
  </si>
  <si>
    <t>Ave height BL trees measured (cm)</t>
  </si>
  <si>
    <t xml:space="preserve">Net Area stratum (ha):  </t>
  </si>
  <si>
    <t>Gross Area stratum (ha):</t>
  </si>
  <si>
    <t>Count of number of trees by DBH (round down)</t>
  </si>
  <si>
    <t>Species for Specific Gravity</t>
  </si>
  <si>
    <t>** is this right? Seems high for SS</t>
  </si>
  <si>
    <t>** is this right?  Seems high forSS</t>
  </si>
  <si>
    <t>Species/Species Group:</t>
  </si>
  <si>
    <t xml:space="preserve">Tree heights (cm) </t>
  </si>
  <si>
    <t>Tree heights (cm)</t>
  </si>
  <si>
    <t>Marked with a stake/ cane or nearest tree?</t>
  </si>
  <si>
    <t>SEEDLING SURVEY SHEET</t>
  </si>
  <si>
    <t>SAPLING SURVEY SHEET</t>
  </si>
  <si>
    <t>ONE PER STRATA</t>
  </si>
  <si>
    <t>ONE PER SPECIES GROUP IN EACH STRATUM</t>
  </si>
  <si>
    <t>TREE SURVEY SHEET PAGE 1</t>
  </si>
  <si>
    <t>Other species in group</t>
  </si>
  <si>
    <t>General Comments on Tree Growth &amp; Health or Tree Protection (eg leader growth, multi-stemmed trees, foliage health, browsing or pest/disease, weeds or windblow, state of fencing or tree guards) - For the whole stratum</t>
  </si>
  <si>
    <t>Summarise the changes to the net area and stocking density between predicted and actual</t>
  </si>
  <si>
    <t>Which species join in groups</t>
  </si>
  <si>
    <t>Main species 1</t>
  </si>
  <si>
    <t>Main species 2</t>
  </si>
  <si>
    <t>SEEDLING CARBON CALCULATION</t>
  </si>
  <si>
    <t>SAPLING CARBON CALCULATION</t>
  </si>
  <si>
    <t>Tab in Spreadsheet</t>
  </si>
  <si>
    <t>Use</t>
  </si>
  <si>
    <t>Field sheet (when you print) and calculation of carbon stored in seedlings</t>
  </si>
  <si>
    <t>Field sheet (when you print) and calculation of carbon stored in saplings</t>
  </si>
  <si>
    <t>Field sheet (when you print) and calculation of carbon stored in tree species x</t>
  </si>
  <si>
    <t>How many you'll need</t>
  </si>
  <si>
    <t>One for the stratum</t>
  </si>
  <si>
    <t>One for each species group in the stratum</t>
  </si>
  <si>
    <t>Project_Total_Carbon</t>
  </si>
  <si>
    <t>Space to compare your predicted carbon sequestration with the actual measured carbon sequestration</t>
  </si>
  <si>
    <t>One per project (combines all strata)</t>
  </si>
  <si>
    <t>Projectname_Species Compare</t>
  </si>
  <si>
    <t>Space to compare the species mix of your prediction to the actual measured mix</t>
  </si>
  <si>
    <t>Might not need this one though interesting to look at?</t>
  </si>
  <si>
    <t>Lookup Values</t>
  </si>
  <si>
    <t xml:space="preserve">This page contains the underlying data, species groups and constants to run the carbon assessment </t>
  </si>
  <si>
    <t>Referred to in all other sheets.  No action required</t>
  </si>
  <si>
    <t>Space to look at species mix and work out which species groups you'll be surveying, and enter plot grid refs</t>
  </si>
  <si>
    <t>Stratum 1</t>
  </si>
  <si>
    <t>Stratum 2</t>
  </si>
  <si>
    <t>Stratum 3</t>
  </si>
  <si>
    <t>Stratum 4</t>
  </si>
  <si>
    <t>Stratum 5</t>
  </si>
  <si>
    <t>Net planted area of each stratum (ha)</t>
  </si>
  <si>
    <t>Anticipated spacing (m)</t>
  </si>
  <si>
    <t>Anticipated stocking density (trees/ha)</t>
  </si>
  <si>
    <t>Gross area of each stratum</t>
  </si>
  <si>
    <t>DIVIDE THE PROJECT INTO STRATA, COMPLETE THE FOLLOWING TABLE TO CONFIRM PLOT SIZE AND NUMBER</t>
  </si>
  <si>
    <t>Circular</t>
  </si>
  <si>
    <t>Planning - Stratification</t>
  </si>
  <si>
    <t>One for the project</t>
  </si>
  <si>
    <t>Use to divide the project into strata which will be surveyed separately</t>
  </si>
  <si>
    <t>Open Ground/Existing woodland of each stratum (ha)</t>
  </si>
  <si>
    <t>Plot shape</t>
  </si>
  <si>
    <t>Select one</t>
  </si>
  <si>
    <t>Square</t>
  </si>
  <si>
    <t>ONE FORM PER PROJECT</t>
  </si>
  <si>
    <t>FOR EACH STRATUM, COMPLETE THE FOLLOWING TABLE TO CONFIRM PLOT SIZE AND NUMBER</t>
  </si>
  <si>
    <t>ONE FORM PER STRATUM</t>
  </si>
  <si>
    <t>GRID REFERENCES OF PLOTS</t>
  </si>
  <si>
    <t>** Scroll down for carbon calc</t>
  </si>
  <si>
    <t>** Scroll down for caron calc</t>
  </si>
  <si>
    <t>**Scroll down for carbon calc</t>
  </si>
  <si>
    <t>TREE SPECIES CARBON CALCULATION</t>
  </si>
  <si>
    <t>Predicted Units (PIUs) in Vintage being assessed</t>
  </si>
  <si>
    <t>Actual Units (WCUs) in Vintage being assessed</t>
  </si>
  <si>
    <t>Tree species group</t>
  </si>
  <si>
    <t xml:space="preserve">Net Carbon Sequestration.  Copy &amp; paste original predictions from validated WCC Carbon Calculator  --&gt; </t>
  </si>
  <si>
    <t xml:space="preserve">Survey result - Gross carbon stored in Biomass CO2 to date.  Need to subtract soil C emissions, Basline/leakage and the % contribution to the buffer in next table  --&gt; </t>
  </si>
  <si>
    <t>Total Units in vintage (tCO2e)</t>
  </si>
  <si>
    <t>Units to Buffer (tCO2e)</t>
  </si>
  <si>
    <t>Units to Project (tCO2e)</t>
  </si>
  <si>
    <t>Stratum 1 - tCO2e</t>
  </si>
  <si>
    <t>Stratum 2 - tCO2e</t>
  </si>
  <si>
    <t>Stratum 3 - tCO2e</t>
  </si>
  <si>
    <t>Stratum 4 - tCO2e</t>
  </si>
  <si>
    <t>Total CO2e</t>
  </si>
  <si>
    <t>Photo reference/ Number</t>
  </si>
  <si>
    <t>Further details about tree growth and health - any issues observed onsite</t>
  </si>
  <si>
    <t>Mean Total Stem Volume (m3)</t>
  </si>
  <si>
    <t>Mean Merchantable Volume (m3) (Eqn 5 p40)</t>
  </si>
  <si>
    <t>Plot radius (m).</t>
  </si>
  <si>
    <t>Distance/ direction from marker to centre of plot</t>
  </si>
  <si>
    <t>Species/Species group:</t>
  </si>
  <si>
    <t xml:space="preserve">Plot Area (m2):  </t>
  </si>
  <si>
    <t xml:space="preserve">Total area of plots (m2): </t>
  </si>
  <si>
    <t>** Enter the number of PIUs you were issued for this vintage (from PDD)</t>
  </si>
  <si>
    <t>** Enter the number of units actually sequestered in this vintage (from fieldwork)</t>
  </si>
  <si>
    <t>Project Name:</t>
  </si>
  <si>
    <t>Planning Stratum1_Species</t>
  </si>
  <si>
    <t>Stratum_1_Seedling</t>
  </si>
  <si>
    <t>Stratum_1_Sapling</t>
  </si>
  <si>
    <t>Stratum_1_Tree Species1</t>
  </si>
  <si>
    <t>Stratum_1_Tree Species2</t>
  </si>
  <si>
    <t>1. COMBINING SPECIES INTO SPECIES GROUPS FOR SURVEY  --&gt; Species/ Spacing/ Area from Carbon Calculator</t>
  </si>
  <si>
    <t>INSERT THE GRID REFERENCE OF EACH PLOT.  Create a Map showing plot locations.</t>
  </si>
  <si>
    <t>Seedling #</t>
  </si>
  <si>
    <t>Sapling #</t>
  </si>
  <si>
    <t>Tree #</t>
  </si>
  <si>
    <t>TREE SURVEY SHEET PAGE 2</t>
  </si>
  <si>
    <r>
      <t>20% Contribution to buffer (tCO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</si>
</sst>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"/>
    <numFmt numFmtId="165" formatCode="0.0000000"/>
    <numFmt numFmtId="166" formatCode="0.0000000000"/>
    <numFmt numFmtId="167" formatCode="0.0000"/>
    <numFmt numFmtId="168" formatCode="0.0%"/>
    <numFmt numFmtId="169" formatCode="#,##0.0"/>
    <numFmt numFmtId="170" formatCode="#,##0.000000"/>
    <numFmt numFmtId="171" formatCode="#,##0.0000"/>
    <numFmt numFmtId="172" formatCode="0.00000"/>
  </numFmts>
  <fonts count="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Verdana"/>
      <family val="2"/>
    </font>
    <font>
      <sz val="11"/>
      <color rgb="FF004E2E"/>
      <name val="Verdana"/>
      <family val="2"/>
    </font>
    <font>
      <b/>
      <sz val="11"/>
      <color rgb="FF004E2E"/>
      <name val="Verdana"/>
      <family val="2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Arial"/>
      <family val="2"/>
    </font>
    <font>
      <b/>
      <i/>
      <sz val="11"/>
      <color rgb="FF004E2E"/>
      <name val="Verdana"/>
      <family val="2"/>
    </font>
    <font>
      <b/>
      <sz val="11"/>
      <color theme="1"/>
      <name val="Verdana"/>
      <family val="2"/>
    </font>
    <font>
      <b/>
      <sz val="14"/>
      <color theme="1"/>
      <name val="Verdana"/>
      <family val="2"/>
    </font>
    <font>
      <b/>
      <sz val="14"/>
      <color rgb="FF004E2E"/>
      <name val="Verdana"/>
      <family val="2"/>
    </font>
    <font>
      <b/>
      <sz val="11"/>
      <name val="Verdana"/>
      <family val="2"/>
    </font>
    <font>
      <b/>
      <sz val="12"/>
      <color rgb="FF000000"/>
      <name val="Arial"/>
      <family val="2"/>
    </font>
    <font>
      <b/>
      <sz val="10"/>
      <color theme="1"/>
      <name val="Verdana"/>
      <family val="2"/>
    </font>
    <font>
      <i/>
      <sz val="10"/>
      <color theme="1"/>
      <name val="Verdana"/>
      <family val="2"/>
    </font>
    <font>
      <b/>
      <i/>
      <sz val="10"/>
      <color theme="1"/>
      <name val="Verdana"/>
      <family val="2"/>
    </font>
    <font>
      <b/>
      <sz val="12"/>
      <name val="Arial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  <font>
      <b/>
      <sz val="12"/>
      <color indexed="10"/>
      <name val="Arial"/>
      <family val="2"/>
    </font>
    <font>
      <b/>
      <vertAlign val="subscript"/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0"/>
      <color rgb="FFFF0000"/>
      <name val="Verdana"/>
      <family val="2"/>
    </font>
    <font>
      <b/>
      <sz val="12"/>
      <color rgb="FFFF0000"/>
      <name val="Verdana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0"/>
      <color rgb="FFFF0000"/>
      <name val="Verdana"/>
      <family val="2"/>
    </font>
    <font>
      <i/>
      <sz val="10"/>
      <color rgb="FFFF0000"/>
      <name val="Verdana"/>
      <family val="2"/>
    </font>
    <font>
      <b/>
      <sz val="10"/>
      <name val="Verdana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6"/>
      <color rgb="FFFF0000"/>
      <name val="Verdana"/>
      <family val="2"/>
    </font>
    <font>
      <sz val="12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9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ck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thin">
        <color auto="1"/>
      </left>
      <right style="thick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double">
        <color auto="1"/>
      </top>
      <bottom/>
      <diagonal/>
    </border>
  </borders>
  <cellStyleXfs count="2">
    <xf numFmtId="0" fontId="0" fillId="0" borderId="0"/>
    <xf numFmtId="0" fontId="28" fillId="0" borderId="0"/>
  </cellStyleXfs>
  <cellXfs count="856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0" xfId="0" applyFont="1" applyFill="1" applyBorder="1"/>
    <xf numFmtId="0" fontId="0" fillId="0" borderId="0" xfId="0" applyFill="1" applyBorder="1"/>
    <xf numFmtId="0" fontId="4" fillId="0" borderId="14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7" fillId="0" borderId="0" xfId="0" applyFont="1"/>
    <xf numFmtId="0" fontId="4" fillId="0" borderId="19" xfId="0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 wrapText="1"/>
    </xf>
    <xf numFmtId="164" fontId="4" fillId="0" borderId="14" xfId="0" applyNumberFormat="1" applyFont="1" applyBorder="1" applyAlignment="1">
      <alignment vertical="center" wrapText="1"/>
    </xf>
    <xf numFmtId="164" fontId="4" fillId="0" borderId="18" xfId="0" applyNumberFormat="1" applyFont="1" applyBorder="1" applyAlignment="1">
      <alignment vertical="center" wrapText="1"/>
    </xf>
    <xf numFmtId="0" fontId="8" fillId="0" borderId="0" xfId="0" applyFont="1"/>
    <xf numFmtId="165" fontId="10" fillId="0" borderId="1" xfId="0" applyNumberFormat="1" applyFont="1" applyBorder="1" applyAlignment="1">
      <alignment horizontal="right" vertical="center"/>
    </xf>
    <xf numFmtId="165" fontId="10" fillId="0" borderId="1" xfId="0" applyNumberFormat="1" applyFont="1" applyBorder="1" applyAlignment="1">
      <alignment horizontal="right" vertical="center" wrapText="1"/>
    </xf>
    <xf numFmtId="165" fontId="10" fillId="5" borderId="1" xfId="0" applyNumberFormat="1" applyFont="1" applyFill="1" applyBorder="1" applyAlignment="1">
      <alignment horizontal="right" vertical="center"/>
    </xf>
    <xf numFmtId="165" fontId="10" fillId="5" borderId="1" xfId="0" applyNumberFormat="1" applyFont="1" applyFill="1" applyBorder="1" applyAlignment="1">
      <alignment horizontal="right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justify" vertical="center" wrapText="1"/>
    </xf>
    <xf numFmtId="0" fontId="4" fillId="0" borderId="25" xfId="0" applyFont="1" applyBorder="1" applyAlignment="1">
      <alignment horizontal="justify" vertical="center" wrapText="1"/>
    </xf>
    <xf numFmtId="0" fontId="4" fillId="0" borderId="26" xfId="0" applyFont="1" applyBorder="1" applyAlignment="1">
      <alignment horizontal="justify" vertical="center" wrapText="1"/>
    </xf>
    <xf numFmtId="0" fontId="4" fillId="0" borderId="27" xfId="0" applyFont="1" applyBorder="1" applyAlignment="1">
      <alignment horizontal="justify" vertical="center" wrapText="1"/>
    </xf>
    <xf numFmtId="0" fontId="4" fillId="0" borderId="26" xfId="0" applyFont="1" applyFill="1" applyBorder="1" applyAlignment="1">
      <alignment horizontal="justify" vertical="center" wrapText="1"/>
    </xf>
    <xf numFmtId="0" fontId="4" fillId="0" borderId="27" xfId="0" applyFont="1" applyFill="1" applyBorder="1" applyAlignment="1">
      <alignment horizontal="justify" vertical="center" wrapText="1"/>
    </xf>
    <xf numFmtId="0" fontId="4" fillId="0" borderId="28" xfId="0" applyFont="1" applyFill="1" applyBorder="1" applyAlignment="1">
      <alignment horizontal="justify" vertical="center" wrapText="1"/>
    </xf>
    <xf numFmtId="0" fontId="4" fillId="0" borderId="29" xfId="0" applyFont="1" applyFill="1" applyBorder="1" applyAlignment="1">
      <alignment horizontal="justify" vertical="center" wrapText="1"/>
    </xf>
    <xf numFmtId="0" fontId="1" fillId="0" borderId="0" xfId="0" applyFont="1" applyAlignment="1">
      <alignment wrapText="1"/>
    </xf>
    <xf numFmtId="0" fontId="9" fillId="0" borderId="0" xfId="0" applyFont="1"/>
    <xf numFmtId="0" fontId="6" fillId="3" borderId="23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horizontal="right" vertical="center" wrapText="1"/>
    </xf>
    <xf numFmtId="0" fontId="6" fillId="3" borderId="23" xfId="0" applyFont="1" applyFill="1" applyBorder="1" applyAlignment="1">
      <alignment vertical="center"/>
    </xf>
    <xf numFmtId="0" fontId="0" fillId="0" borderId="31" xfId="0" applyBorder="1"/>
    <xf numFmtId="166" fontId="0" fillId="0" borderId="0" xfId="0" applyNumberFormat="1"/>
    <xf numFmtId="0" fontId="13" fillId="0" borderId="0" xfId="0" applyFont="1" applyFill="1" applyBorder="1" applyAlignment="1">
      <alignment horizontal="center" vertical="center" wrapText="1"/>
    </xf>
    <xf numFmtId="0" fontId="0" fillId="0" borderId="17" xfId="0" applyBorder="1"/>
    <xf numFmtId="0" fontId="7" fillId="0" borderId="0" xfId="0" applyFont="1" applyAlignment="1">
      <alignment wrapText="1"/>
    </xf>
    <xf numFmtId="0" fontId="6" fillId="3" borderId="18" xfId="0" applyFont="1" applyFill="1" applyBorder="1" applyAlignment="1">
      <alignment vertical="center" wrapText="1"/>
    </xf>
    <xf numFmtId="0" fontId="13" fillId="3" borderId="19" xfId="0" applyFont="1" applyFill="1" applyBorder="1" applyAlignment="1">
      <alignment horizontal="center" vertical="center" wrapText="1"/>
    </xf>
    <xf numFmtId="166" fontId="13" fillId="3" borderId="19" xfId="0" applyNumberFormat="1" applyFont="1" applyFill="1" applyBorder="1" applyAlignment="1">
      <alignment horizontal="center" vertical="center" wrapText="1"/>
    </xf>
    <xf numFmtId="166" fontId="4" fillId="0" borderId="16" xfId="0" applyNumberFormat="1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Fill="1" applyBorder="1" applyAlignment="1">
      <alignment vertical="center" wrapText="1"/>
    </xf>
    <xf numFmtId="166" fontId="4" fillId="0" borderId="19" xfId="0" applyNumberFormat="1" applyFont="1" applyBorder="1" applyAlignment="1">
      <alignment vertical="center" wrapText="1"/>
    </xf>
    <xf numFmtId="165" fontId="17" fillId="5" borderId="1" xfId="0" applyNumberFormat="1" applyFont="1" applyFill="1" applyBorder="1" applyAlignment="1">
      <alignment horizontal="right" vertical="center"/>
    </xf>
    <xf numFmtId="165" fontId="14" fillId="5" borderId="1" xfId="0" applyNumberFormat="1" applyFont="1" applyFill="1" applyBorder="1" applyAlignment="1">
      <alignment horizontal="right" vertical="center"/>
    </xf>
    <xf numFmtId="0" fontId="14" fillId="0" borderId="23" xfId="0" applyFont="1" applyBorder="1" applyAlignment="1">
      <alignment wrapText="1"/>
    </xf>
    <xf numFmtId="0" fontId="14" fillId="3" borderId="18" xfId="0" applyFont="1" applyFill="1" applyBorder="1" applyAlignment="1">
      <alignment wrapText="1"/>
    </xf>
    <xf numFmtId="0" fontId="0" fillId="0" borderId="0" xfId="0" applyBorder="1"/>
    <xf numFmtId="0" fontId="19" fillId="7" borderId="18" xfId="0" applyFont="1" applyFill="1" applyBorder="1" applyAlignment="1">
      <alignment horizontal="center" vertical="center" wrapText="1"/>
    </xf>
    <xf numFmtId="0" fontId="19" fillId="8" borderId="19" xfId="0" applyFont="1" applyFill="1" applyBorder="1" applyAlignment="1">
      <alignment horizontal="center" vertical="center" wrapText="1"/>
    </xf>
    <xf numFmtId="0" fontId="19" fillId="7" borderId="34" xfId="0" applyFont="1" applyFill="1" applyBorder="1" applyAlignment="1">
      <alignment vertical="center" wrapText="1"/>
    </xf>
    <xf numFmtId="0" fontId="19" fillId="8" borderId="35" xfId="0" applyFont="1" applyFill="1" applyBorder="1" applyAlignment="1">
      <alignment horizontal="center" vertical="center" wrapText="1"/>
    </xf>
    <xf numFmtId="0" fontId="19" fillId="8" borderId="16" xfId="0" applyFont="1" applyFill="1" applyBorder="1" applyAlignment="1">
      <alignment horizontal="center" vertical="center" wrapText="1"/>
    </xf>
    <xf numFmtId="0" fontId="19" fillId="7" borderId="34" xfId="0" applyFont="1" applyFill="1" applyBorder="1" applyAlignment="1">
      <alignment horizontal="right" vertical="center" wrapText="1"/>
    </xf>
    <xf numFmtId="0" fontId="19" fillId="7" borderId="36" xfId="0" applyFont="1" applyFill="1" applyBorder="1" applyAlignment="1">
      <alignment horizontal="right" vertical="center" wrapText="1"/>
    </xf>
    <xf numFmtId="0" fontId="20" fillId="7" borderId="34" xfId="0" applyFont="1" applyFill="1" applyBorder="1" applyAlignment="1">
      <alignment horizontal="right" vertical="center" wrapText="1"/>
    </xf>
    <xf numFmtId="0" fontId="23" fillId="9" borderId="38" xfId="0" applyFont="1" applyFill="1" applyBorder="1" applyAlignment="1">
      <alignment vertical="top" wrapText="1"/>
    </xf>
    <xf numFmtId="0" fontId="25" fillId="9" borderId="25" xfId="0" applyFont="1" applyFill="1" applyBorder="1" applyAlignment="1">
      <alignment vertical="top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horizontal="center" vertical="center" wrapText="1"/>
    </xf>
    <xf numFmtId="0" fontId="27" fillId="9" borderId="26" xfId="0" applyFont="1" applyFill="1" applyBorder="1" applyAlignment="1">
      <alignment vertical="center" wrapText="1"/>
    </xf>
    <xf numFmtId="1" fontId="0" fillId="0" borderId="1" xfId="0" applyNumberFormat="1" applyBorder="1" applyAlignment="1">
      <alignment vertical="center"/>
    </xf>
    <xf numFmtId="1" fontId="0" fillId="10" borderId="1" xfId="0" applyNumberFormat="1" applyFill="1" applyBorder="1" applyAlignment="1">
      <alignment vertical="center"/>
    </xf>
    <xf numFmtId="0" fontId="27" fillId="9" borderId="28" xfId="0" applyFont="1" applyFill="1" applyBorder="1" applyAlignment="1">
      <alignment vertical="center" wrapText="1"/>
    </xf>
    <xf numFmtId="1" fontId="0" fillId="0" borderId="39" xfId="0" applyNumberFormat="1" applyBorder="1" applyAlignment="1">
      <alignment vertical="center"/>
    </xf>
    <xf numFmtId="0" fontId="7" fillId="0" borderId="0" xfId="0" applyFont="1" applyAlignment="1">
      <alignment wrapText="1"/>
    </xf>
    <xf numFmtId="0" fontId="6" fillId="3" borderId="21" xfId="0" applyFont="1" applyFill="1" applyBorder="1" applyAlignment="1">
      <alignment horizontal="center" vertical="center" wrapText="1"/>
    </xf>
    <xf numFmtId="0" fontId="4" fillId="0" borderId="17" xfId="0" applyFont="1" applyFill="1" applyBorder="1"/>
    <xf numFmtId="0" fontId="0" fillId="0" borderId="0" xfId="0" applyFill="1"/>
    <xf numFmtId="0" fontId="0" fillId="11" borderId="0" xfId="0" applyFont="1" applyFill="1" applyBorder="1" applyAlignment="1">
      <alignment horizontal="right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4" fillId="0" borderId="17" xfId="0" applyFont="1" applyBorder="1"/>
    <xf numFmtId="0" fontId="4" fillId="0" borderId="24" xfId="0" applyFont="1" applyBorder="1" applyAlignment="1">
      <alignment vertical="center" wrapText="1"/>
    </xf>
    <xf numFmtId="0" fontId="4" fillId="0" borderId="38" xfId="0" applyFont="1" applyBorder="1" applyAlignment="1">
      <alignment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right" vertical="center" wrapText="1"/>
    </xf>
    <xf numFmtId="0" fontId="4" fillId="0" borderId="0" xfId="0" applyFont="1" applyBorder="1"/>
    <xf numFmtId="0" fontId="0" fillId="0" borderId="31" xfId="0" applyFill="1" applyBorder="1"/>
    <xf numFmtId="0" fontId="0" fillId="0" borderId="0" xfId="0" applyFont="1" applyBorder="1" applyAlignment="1">
      <alignment horizontal="right" vertical="center"/>
    </xf>
    <xf numFmtId="0" fontId="0" fillId="0" borderId="17" xfId="0" applyFont="1" applyBorder="1"/>
    <xf numFmtId="0" fontId="4" fillId="0" borderId="0" xfId="0" applyFont="1" applyFill="1" applyBorder="1"/>
    <xf numFmtId="0" fontId="0" fillId="0" borderId="32" xfId="0" applyFill="1" applyBorder="1"/>
    <xf numFmtId="0" fontId="0" fillId="0" borderId="33" xfId="0" applyFont="1" applyFill="1" applyBorder="1" applyAlignment="1">
      <alignment horizontal="right" vertical="center" wrapText="1"/>
    </xf>
    <xf numFmtId="0" fontId="4" fillId="0" borderId="33" xfId="0" applyFont="1" applyFill="1" applyBorder="1"/>
    <xf numFmtId="0" fontId="0" fillId="0" borderId="16" xfId="0" applyFont="1" applyBorder="1"/>
    <xf numFmtId="0" fontId="0" fillId="0" borderId="30" xfId="0" applyBorder="1"/>
    <xf numFmtId="0" fontId="11" fillId="11" borderId="0" xfId="0" applyFont="1" applyFill="1" applyBorder="1" applyAlignment="1">
      <alignment horizontal="right" vertical="center" wrapText="1"/>
    </xf>
    <xf numFmtId="164" fontId="0" fillId="0" borderId="0" xfId="0" applyNumberFormat="1" applyFill="1" applyBorder="1"/>
    <xf numFmtId="0" fontId="1" fillId="0" borderId="0" xfId="0" applyFont="1" applyFill="1"/>
    <xf numFmtId="0" fontId="8" fillId="0" borderId="0" xfId="0" applyFont="1" applyFill="1"/>
    <xf numFmtId="2" fontId="1" fillId="0" borderId="0" xfId="0" applyNumberFormat="1" applyFont="1" applyBorder="1"/>
    <xf numFmtId="0" fontId="1" fillId="0" borderId="12" xfId="0" applyFont="1" applyFill="1" applyBorder="1"/>
    <xf numFmtId="0" fontId="1" fillId="11" borderId="12" xfId="0" applyFont="1" applyFill="1" applyBorder="1"/>
    <xf numFmtId="0" fontId="2" fillId="9" borderId="24" xfId="0" applyFont="1" applyFill="1" applyBorder="1" applyAlignment="1">
      <alignment horizontal="center" vertical="center" wrapText="1"/>
    </xf>
    <xf numFmtId="0" fontId="2" fillId="9" borderId="38" xfId="0" applyFont="1" applyFill="1" applyBorder="1" applyAlignment="1">
      <alignment horizontal="center" vertical="center" wrapText="1"/>
    </xf>
    <xf numFmtId="0" fontId="2" fillId="9" borderId="25" xfId="0" applyFont="1" applyFill="1" applyBorder="1" applyAlignment="1">
      <alignment horizontal="center" vertical="center" wrapText="1"/>
    </xf>
    <xf numFmtId="0" fontId="0" fillId="0" borderId="40" xfId="0" applyBorder="1"/>
    <xf numFmtId="0" fontId="22" fillId="12" borderId="40" xfId="0" applyFont="1" applyFill="1" applyBorder="1" applyAlignment="1">
      <alignment vertical="top" wrapText="1"/>
    </xf>
    <xf numFmtId="168" fontId="22" fillId="12" borderId="40" xfId="0" applyNumberFormat="1" applyFont="1" applyFill="1" applyBorder="1" applyAlignment="1">
      <alignment vertical="top" wrapText="1"/>
    </xf>
    <xf numFmtId="0" fontId="0" fillId="2" borderId="1" xfId="0" applyFill="1" applyBorder="1"/>
    <xf numFmtId="169" fontId="0" fillId="0" borderId="1" xfId="0" applyNumberFormat="1" applyBorder="1"/>
    <xf numFmtId="0" fontId="18" fillId="0" borderId="0" xfId="0" applyFont="1" applyAlignment="1">
      <alignment vertical="center"/>
    </xf>
    <xf numFmtId="0" fontId="0" fillId="0" borderId="30" xfId="0" applyFont="1" applyBorder="1" applyAlignment="1">
      <alignment horizontal="right" vertical="center" wrapText="1"/>
    </xf>
    <xf numFmtId="0" fontId="11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 wrapText="1"/>
    </xf>
    <xf numFmtId="0" fontId="11" fillId="0" borderId="33" xfId="0" applyFont="1" applyFill="1" applyBorder="1" applyAlignment="1">
      <alignment horizontal="right" vertical="center"/>
    </xf>
    <xf numFmtId="0" fontId="0" fillId="0" borderId="31" xfId="0" applyBorder="1"/>
    <xf numFmtId="0" fontId="0" fillId="0" borderId="17" xfId="0" applyBorder="1"/>
    <xf numFmtId="0" fontId="0" fillId="0" borderId="0" xfId="0" applyBorder="1"/>
    <xf numFmtId="0" fontId="4" fillId="0" borderId="17" xfId="0" applyFont="1" applyFill="1" applyBorder="1"/>
    <xf numFmtId="0" fontId="4" fillId="0" borderId="17" xfId="0" applyFont="1" applyBorder="1"/>
    <xf numFmtId="0" fontId="11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 vertical="center"/>
    </xf>
    <xf numFmtId="0" fontId="0" fillId="0" borderId="30" xfId="0" applyFont="1" applyFill="1" applyBorder="1" applyAlignment="1">
      <alignment horizontal="right" vertical="center" wrapText="1"/>
    </xf>
    <xf numFmtId="0" fontId="4" fillId="0" borderId="0" xfId="0" applyFont="1" applyBorder="1"/>
    <xf numFmtId="0" fontId="0" fillId="0" borderId="31" xfId="0" applyFill="1" applyBorder="1"/>
    <xf numFmtId="0" fontId="0" fillId="0" borderId="17" xfId="0" applyFont="1" applyBorder="1"/>
    <xf numFmtId="0" fontId="4" fillId="0" borderId="0" xfId="0" applyFont="1" applyFill="1" applyBorder="1"/>
    <xf numFmtId="0" fontId="0" fillId="0" borderId="9" xfId="0" applyFont="1" applyFill="1" applyBorder="1" applyAlignment="1">
      <alignment horizontal="right" vertical="center" wrapText="1"/>
    </xf>
    <xf numFmtId="165" fontId="10" fillId="0" borderId="0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4" fillId="11" borderId="39" xfId="0" applyFont="1" applyFill="1" applyBorder="1" applyAlignment="1">
      <alignment vertical="center" wrapText="1"/>
    </xf>
    <xf numFmtId="0" fontId="4" fillId="11" borderId="1" xfId="0" applyFont="1" applyFill="1" applyBorder="1" applyAlignment="1">
      <alignment vertical="center" wrapText="1"/>
    </xf>
    <xf numFmtId="0" fontId="8" fillId="0" borderId="0" xfId="0" applyFont="1" applyAlignment="1"/>
    <xf numFmtId="0" fontId="29" fillId="0" borderId="0" xfId="0" applyFont="1" applyBorder="1"/>
    <xf numFmtId="0" fontId="9" fillId="0" borderId="0" xfId="0" applyFont="1" applyFill="1" applyBorder="1"/>
    <xf numFmtId="0" fontId="0" fillId="14" borderId="1" xfId="0" applyFill="1" applyBorder="1"/>
    <xf numFmtId="0" fontId="1" fillId="6" borderId="1" xfId="0" applyFont="1" applyFill="1" applyBorder="1"/>
    <xf numFmtId="0" fontId="0" fillId="6" borderId="1" xfId="0" applyFill="1" applyBorder="1"/>
    <xf numFmtId="0" fontId="0" fillId="13" borderId="1" xfId="0" applyFill="1" applyBorder="1"/>
    <xf numFmtId="0" fontId="1" fillId="13" borderId="28" xfId="0" applyFont="1" applyFill="1" applyBorder="1"/>
    <xf numFmtId="0" fontId="1" fillId="13" borderId="39" xfId="0" applyFont="1" applyFill="1" applyBorder="1"/>
    <xf numFmtId="0" fontId="1" fillId="13" borderId="24" xfId="0" applyFont="1" applyFill="1" applyBorder="1"/>
    <xf numFmtId="0" fontId="1" fillId="13" borderId="38" xfId="0" applyFont="1" applyFill="1" applyBorder="1"/>
    <xf numFmtId="0" fontId="0" fillId="6" borderId="1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13" borderId="51" xfId="0" applyFill="1" applyBorder="1"/>
    <xf numFmtId="0" fontId="0" fillId="13" borderId="52" xfId="0" applyFill="1" applyBorder="1"/>
    <xf numFmtId="0" fontId="0" fillId="13" borderId="54" xfId="0" applyFill="1" applyBorder="1"/>
    <xf numFmtId="0" fontId="0" fillId="13" borderId="3" xfId="0" applyFill="1" applyBorder="1"/>
    <xf numFmtId="0" fontId="0" fillId="13" borderId="55" xfId="0" applyFill="1" applyBorder="1"/>
    <xf numFmtId="0" fontId="1" fillId="13" borderId="54" xfId="0" applyFont="1" applyFill="1" applyBorder="1"/>
    <xf numFmtId="0" fontId="1" fillId="13" borderId="3" xfId="0" applyFont="1" applyFill="1" applyBorder="1"/>
    <xf numFmtId="0" fontId="1" fillId="13" borderId="56" xfId="0" applyFont="1" applyFill="1" applyBorder="1"/>
    <xf numFmtId="0" fontId="1" fillId="13" borderId="57" xfId="0" applyFont="1" applyFill="1" applyBorder="1"/>
    <xf numFmtId="0" fontId="0" fillId="13" borderId="57" xfId="0" applyFill="1" applyBorder="1"/>
    <xf numFmtId="164" fontId="0" fillId="0" borderId="0" xfId="0" applyNumberFormat="1" applyBorder="1"/>
    <xf numFmtId="0" fontId="1" fillId="2" borderId="24" xfId="0" applyFont="1" applyFill="1" applyBorder="1"/>
    <xf numFmtId="0" fontId="0" fillId="2" borderId="38" xfId="0" applyFill="1" applyBorder="1"/>
    <xf numFmtId="0" fontId="1" fillId="2" borderId="26" xfId="0" applyFont="1" applyFill="1" applyBorder="1"/>
    <xf numFmtId="0" fontId="1" fillId="2" borderId="28" xfId="0" applyFont="1" applyFill="1" applyBorder="1"/>
    <xf numFmtId="0" fontId="0" fillId="2" borderId="39" xfId="0" applyFill="1" applyBorder="1"/>
    <xf numFmtId="0" fontId="0" fillId="6" borderId="3" xfId="0" applyFill="1" applyBorder="1"/>
    <xf numFmtId="0" fontId="1" fillId="6" borderId="3" xfId="0" applyFont="1" applyFill="1" applyBorder="1"/>
    <xf numFmtId="0" fontId="1" fillId="6" borderId="9" xfId="0" applyFont="1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1" fillId="6" borderId="8" xfId="0" applyFont="1" applyFill="1" applyBorder="1" applyAlignment="1">
      <alignment horizontal="left" vertical="center"/>
    </xf>
    <xf numFmtId="0" fontId="0" fillId="14" borderId="6" xfId="0" applyFill="1" applyBorder="1"/>
    <xf numFmtId="0" fontId="1" fillId="13" borderId="5" xfId="0" applyFont="1" applyFill="1" applyBorder="1"/>
    <xf numFmtId="0" fontId="1" fillId="6" borderId="2" xfId="0" applyFont="1" applyFill="1" applyBorder="1"/>
    <xf numFmtId="0" fontId="1" fillId="6" borderId="6" xfId="0" applyFont="1" applyFill="1" applyBorder="1"/>
    <xf numFmtId="0" fontId="1" fillId="6" borderId="5" xfId="0" applyFont="1" applyFill="1" applyBorder="1"/>
    <xf numFmtId="0" fontId="0" fillId="6" borderId="2" xfId="0" applyFill="1" applyBorder="1"/>
    <xf numFmtId="0" fontId="0" fillId="6" borderId="4" xfId="0" applyFill="1" applyBorder="1"/>
    <xf numFmtId="0" fontId="0" fillId="6" borderId="59" xfId="0" applyFill="1" applyBorder="1"/>
    <xf numFmtId="0" fontId="0" fillId="6" borderId="63" xfId="0" applyFill="1" applyBorder="1"/>
    <xf numFmtId="0" fontId="1" fillId="6" borderId="66" xfId="0" applyFont="1" applyFill="1" applyBorder="1"/>
    <xf numFmtId="0" fontId="1" fillId="6" borderId="67" xfId="0" applyFont="1" applyFill="1" applyBorder="1"/>
    <xf numFmtId="0" fontId="0" fillId="13" borderId="0" xfId="0" applyFill="1" applyBorder="1"/>
    <xf numFmtId="0" fontId="0" fillId="13" borderId="17" xfId="0" applyFill="1" applyBorder="1"/>
    <xf numFmtId="0" fontId="0" fillId="6" borderId="60" xfId="0" applyFill="1" applyBorder="1"/>
    <xf numFmtId="0" fontId="1" fillId="2" borderId="51" xfId="0" applyFont="1" applyFill="1" applyBorder="1"/>
    <xf numFmtId="0" fontId="0" fillId="2" borderId="52" xfId="0" applyFill="1" applyBorder="1"/>
    <xf numFmtId="0" fontId="8" fillId="2" borderId="52" xfId="0" applyFont="1" applyFill="1" applyBorder="1"/>
    <xf numFmtId="0" fontId="0" fillId="2" borderId="53" xfId="0" applyFill="1" applyBorder="1"/>
    <xf numFmtId="0" fontId="8" fillId="13" borderId="3" xfId="0" applyFont="1" applyFill="1" applyBorder="1"/>
    <xf numFmtId="0" fontId="8" fillId="13" borderId="55" xfId="0" applyFont="1" applyFill="1" applyBorder="1"/>
    <xf numFmtId="0" fontId="8" fillId="13" borderId="57" xfId="0" applyFont="1" applyFill="1" applyBorder="1"/>
    <xf numFmtId="0" fontId="0" fillId="13" borderId="58" xfId="0" applyFill="1" applyBorder="1"/>
    <xf numFmtId="0" fontId="0" fillId="6" borderId="31" xfId="0" applyFill="1" applyBorder="1"/>
    <xf numFmtId="0" fontId="0" fillId="6" borderId="0" xfId="0" applyFill="1" applyBorder="1"/>
    <xf numFmtId="0" fontId="1" fillId="6" borderId="31" xfId="0" applyFont="1" applyFill="1" applyBorder="1"/>
    <xf numFmtId="0" fontId="1" fillId="6" borderId="31" xfId="0" applyFont="1" applyFill="1" applyBorder="1" applyAlignment="1">
      <alignment wrapText="1"/>
    </xf>
    <xf numFmtId="167" fontId="0" fillId="13" borderId="17" xfId="0" applyNumberFormat="1" applyFill="1" applyBorder="1" applyAlignment="1">
      <alignment vertical="center"/>
    </xf>
    <xf numFmtId="0" fontId="1" fillId="2" borderId="22" xfId="0" applyFont="1" applyFill="1" applyBorder="1"/>
    <xf numFmtId="0" fontId="0" fillId="2" borderId="40" xfId="0" applyFill="1" applyBorder="1"/>
    <xf numFmtId="0" fontId="0" fillId="6" borderId="40" xfId="0" applyFill="1" applyBorder="1"/>
    <xf numFmtId="0" fontId="0" fillId="6" borderId="19" xfId="0" applyFill="1" applyBorder="1"/>
    <xf numFmtId="0" fontId="0" fillId="2" borderId="19" xfId="0" applyFill="1" applyBorder="1"/>
    <xf numFmtId="0" fontId="1" fillId="2" borderId="40" xfId="0" applyFont="1" applyFill="1" applyBorder="1"/>
    <xf numFmtId="0" fontId="1" fillId="6" borderId="22" xfId="0" applyFont="1" applyFill="1" applyBorder="1"/>
    <xf numFmtId="0" fontId="1" fillId="6" borderId="32" xfId="0" applyFont="1" applyFill="1" applyBorder="1"/>
    <xf numFmtId="0" fontId="0" fillId="6" borderId="33" xfId="0" applyFill="1" applyBorder="1"/>
    <xf numFmtId="0" fontId="0" fillId="2" borderId="40" xfId="0" applyFill="1" applyBorder="1" applyAlignment="1">
      <alignment vertical="center"/>
    </xf>
    <xf numFmtId="0" fontId="1" fillId="6" borderId="40" xfId="0" applyFont="1" applyFill="1" applyBorder="1"/>
    <xf numFmtId="0" fontId="32" fillId="6" borderId="54" xfId="0" applyFont="1" applyFill="1" applyBorder="1"/>
    <xf numFmtId="0" fontId="32" fillId="13" borderId="3" xfId="0" applyNumberFormat="1" applyFont="1" applyFill="1" applyBorder="1" applyAlignment="1">
      <alignment vertical="center"/>
    </xf>
    <xf numFmtId="0" fontId="32" fillId="13" borderId="3" xfId="0" applyFont="1" applyFill="1" applyBorder="1"/>
    <xf numFmtId="0" fontId="32" fillId="13" borderId="3" xfId="0" applyFont="1" applyFill="1" applyBorder="1" applyAlignment="1">
      <alignment vertical="center"/>
    </xf>
    <xf numFmtId="0" fontId="1" fillId="6" borderId="73" xfId="0" applyFont="1" applyFill="1" applyBorder="1"/>
    <xf numFmtId="0" fontId="0" fillId="6" borderId="72" xfId="0" applyFill="1" applyBorder="1" applyAlignment="1">
      <alignment vertical="center"/>
    </xf>
    <xf numFmtId="0" fontId="0" fillId="6" borderId="71" xfId="0" applyFill="1" applyBorder="1"/>
    <xf numFmtId="164" fontId="0" fillId="13" borderId="1" xfId="0" applyNumberFormat="1" applyFill="1" applyBorder="1"/>
    <xf numFmtId="0" fontId="0" fillId="14" borderId="2" xfId="0" applyFill="1" applyBorder="1"/>
    <xf numFmtId="0" fontId="31" fillId="2" borderId="1" xfId="0" applyFont="1" applyFill="1" applyBorder="1" applyAlignment="1">
      <alignment wrapText="1"/>
    </xf>
    <xf numFmtId="0" fontId="31" fillId="2" borderId="1" xfId="0" applyFont="1" applyFill="1" applyBorder="1"/>
    <xf numFmtId="0" fontId="31" fillId="2" borderId="2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horizontal="right" wrapText="1"/>
    </xf>
    <xf numFmtId="0" fontId="19" fillId="0" borderId="0" xfId="0" applyFont="1" applyFill="1" applyBorder="1" applyAlignment="1">
      <alignment horizontal="right" vertical="center" wrapText="1"/>
    </xf>
    <xf numFmtId="1" fontId="19" fillId="0" borderId="0" xfId="0" applyNumberFormat="1" applyFont="1" applyFill="1" applyBorder="1" applyAlignment="1">
      <alignment horizontal="right" vertical="center"/>
    </xf>
    <xf numFmtId="1" fontId="9" fillId="0" borderId="0" xfId="0" applyNumberFormat="1" applyFont="1" applyFill="1" applyBorder="1"/>
    <xf numFmtId="0" fontId="20" fillId="0" borderId="0" xfId="0" applyFont="1" applyFill="1" applyBorder="1" applyAlignment="1">
      <alignment horizontal="right" vertical="center" wrapText="1"/>
    </xf>
    <xf numFmtId="0" fontId="21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vertical="center"/>
    </xf>
    <xf numFmtId="1" fontId="20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/>
    <xf numFmtId="0" fontId="0" fillId="0" borderId="0" xfId="0" applyFill="1" applyAlignment="1"/>
    <xf numFmtId="0" fontId="27" fillId="16" borderId="26" xfId="0" applyFont="1" applyFill="1" applyBorder="1" applyAlignment="1">
      <alignment vertical="center" wrapText="1"/>
    </xf>
    <xf numFmtId="0" fontId="1" fillId="14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1" fillId="6" borderId="24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left" vertical="center"/>
    </xf>
    <xf numFmtId="0" fontId="1" fillId="6" borderId="26" xfId="0" applyFont="1" applyFill="1" applyBorder="1" applyAlignment="1">
      <alignment horizontal="left" vertical="center" wrapText="1"/>
    </xf>
    <xf numFmtId="0" fontId="1" fillId="6" borderId="28" xfId="0" applyFont="1" applyFill="1" applyBorder="1" applyAlignment="1">
      <alignment horizontal="left" vertical="center" wrapText="1"/>
    </xf>
    <xf numFmtId="0" fontId="1" fillId="6" borderId="39" xfId="0" applyFont="1" applyFill="1" applyBorder="1" applyAlignment="1">
      <alignment horizontal="left" vertical="center"/>
    </xf>
    <xf numFmtId="0" fontId="2" fillId="9" borderId="24" xfId="1" applyFont="1" applyFill="1" applyBorder="1" applyAlignment="1">
      <alignment horizontal="center" vertical="center" wrapText="1"/>
    </xf>
    <xf numFmtId="0" fontId="2" fillId="9" borderId="38" xfId="1" applyFont="1" applyFill="1" applyBorder="1" applyAlignment="1">
      <alignment horizontal="center" vertical="center" wrapText="1"/>
    </xf>
    <xf numFmtId="0" fontId="28" fillId="0" borderId="0" xfId="1"/>
    <xf numFmtId="0" fontId="28" fillId="0" borderId="0" xfId="1" applyFont="1" applyFill="1" applyBorder="1"/>
    <xf numFmtId="2" fontId="1" fillId="13" borderId="29" xfId="0" applyNumberFormat="1" applyFont="1" applyFill="1" applyBorder="1"/>
    <xf numFmtId="2" fontId="1" fillId="13" borderId="25" xfId="0" applyNumberFormat="1" applyFont="1" applyFill="1" applyBorder="1"/>
    <xf numFmtId="0" fontId="9" fillId="0" borderId="7" xfId="0" applyFont="1" applyFill="1" applyBorder="1"/>
    <xf numFmtId="14" fontId="19" fillId="14" borderId="1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14" fontId="29" fillId="0" borderId="0" xfId="0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1" fontId="29" fillId="0" borderId="0" xfId="0" applyNumberFormat="1" applyFont="1" applyFill="1" applyBorder="1" applyAlignment="1">
      <alignment horizontal="right" vertical="center"/>
    </xf>
    <xf numFmtId="0" fontId="36" fillId="0" borderId="0" xfId="0" applyFont="1" applyFill="1" applyBorder="1" applyAlignment="1">
      <alignment horizontal="right" vertical="center"/>
    </xf>
    <xf numFmtId="0" fontId="37" fillId="0" borderId="0" xfId="0" applyFont="1" applyFill="1" applyBorder="1" applyAlignment="1">
      <alignment horizontal="right" vertical="center"/>
    </xf>
    <xf numFmtId="0" fontId="37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left" vertical="center"/>
    </xf>
    <xf numFmtId="0" fontId="2" fillId="9" borderId="74" xfId="1" applyFont="1" applyFill="1" applyBorder="1" applyAlignment="1">
      <alignment horizontal="center" vertical="center" wrapText="1"/>
    </xf>
    <xf numFmtId="0" fontId="2" fillId="9" borderId="1" xfId="1" applyFont="1" applyFill="1" applyBorder="1" applyAlignment="1">
      <alignment horizontal="center" vertical="center" wrapText="1"/>
    </xf>
    <xf numFmtId="0" fontId="28" fillId="14" borderId="1" xfId="1" applyFont="1" applyFill="1" applyBorder="1"/>
    <xf numFmtId="0" fontId="0" fillId="14" borderId="41" xfId="0" applyFill="1" applyBorder="1"/>
    <xf numFmtId="0" fontId="0" fillId="14" borderId="0" xfId="0" applyFill="1" applyBorder="1"/>
    <xf numFmtId="0" fontId="0" fillId="14" borderId="75" xfId="0" applyFill="1" applyBorder="1"/>
    <xf numFmtId="0" fontId="0" fillId="14" borderId="11" xfId="0" applyFill="1" applyBorder="1"/>
    <xf numFmtId="0" fontId="0" fillId="14" borderId="12" xfId="0" applyFill="1" applyBorder="1"/>
    <xf numFmtId="0" fontId="0" fillId="14" borderId="13" xfId="0" applyFill="1" applyBorder="1"/>
    <xf numFmtId="0" fontId="8" fillId="11" borderId="0" xfId="0" applyFont="1" applyFill="1"/>
    <xf numFmtId="172" fontId="0" fillId="13" borderId="3" xfId="0" applyNumberFormat="1" applyFill="1" applyBorder="1"/>
    <xf numFmtId="172" fontId="0" fillId="13" borderId="3" xfId="0" applyNumberFormat="1" applyFill="1" applyBorder="1" applyAlignment="1">
      <alignment horizontal="right"/>
    </xf>
    <xf numFmtId="0" fontId="32" fillId="13" borderId="17" xfId="0" applyFont="1" applyFill="1" applyBorder="1" applyAlignment="1">
      <alignment vertical="center"/>
    </xf>
    <xf numFmtId="0" fontId="32" fillId="6" borderId="31" xfId="0" applyFont="1" applyFill="1" applyBorder="1"/>
    <xf numFmtId="9" fontId="8" fillId="0" borderId="0" xfId="0" applyNumberFormat="1" applyFont="1"/>
    <xf numFmtId="0" fontId="0" fillId="0" borderId="77" xfId="0" applyBorder="1"/>
    <xf numFmtId="0" fontId="0" fillId="0" borderId="78" xfId="0" applyBorder="1"/>
    <xf numFmtId="0" fontId="0" fillId="0" borderId="79" xfId="0" applyBorder="1"/>
    <xf numFmtId="0" fontId="0" fillId="0" borderId="80" xfId="0" applyBorder="1"/>
    <xf numFmtId="0" fontId="7" fillId="0" borderId="0" xfId="0" applyFont="1" applyBorder="1"/>
    <xf numFmtId="0" fontId="0" fillId="0" borderId="81" xfId="0" applyBorder="1"/>
    <xf numFmtId="0" fontId="8" fillId="0" borderId="0" xfId="0" applyFont="1" applyBorder="1"/>
    <xf numFmtId="0" fontId="1" fillId="0" borderId="0" xfId="0" applyFont="1" applyBorder="1"/>
    <xf numFmtId="0" fontId="0" fillId="0" borderId="82" xfId="0" applyFill="1" applyBorder="1"/>
    <xf numFmtId="0" fontId="0" fillId="0" borderId="83" xfId="0" applyFill="1" applyBorder="1" applyAlignment="1">
      <alignment horizontal="center" vertical="center"/>
    </xf>
    <xf numFmtId="0" fontId="0" fillId="0" borderId="83" xfId="0" applyFill="1" applyBorder="1"/>
    <xf numFmtId="0" fontId="0" fillId="0" borderId="84" xfId="0" applyFill="1" applyBorder="1"/>
    <xf numFmtId="0" fontId="0" fillId="13" borderId="53" xfId="0" applyFill="1" applyBorder="1"/>
    <xf numFmtId="2" fontId="0" fillId="13" borderId="55" xfId="0" applyNumberFormat="1" applyFill="1" applyBorder="1"/>
    <xf numFmtId="2" fontId="1" fillId="13" borderId="55" xfId="0" applyNumberFormat="1" applyFont="1" applyFill="1" applyBorder="1"/>
    <xf numFmtId="3" fontId="0" fillId="13" borderId="55" xfId="0" applyNumberFormat="1" applyFill="1" applyBorder="1"/>
    <xf numFmtId="3" fontId="1" fillId="13" borderId="55" xfId="0" applyNumberFormat="1" applyFont="1" applyFill="1" applyBorder="1"/>
    <xf numFmtId="4" fontId="1" fillId="13" borderId="55" xfId="0" applyNumberFormat="1" applyFont="1" applyFill="1" applyBorder="1"/>
    <xf numFmtId="4" fontId="1" fillId="13" borderId="58" xfId="0" applyNumberFormat="1" applyFont="1" applyFill="1" applyBorder="1"/>
    <xf numFmtId="0" fontId="0" fillId="13" borderId="51" xfId="0" applyFont="1" applyFill="1" applyBorder="1"/>
    <xf numFmtId="0" fontId="0" fillId="13" borderId="54" xfId="0" applyFont="1" applyFill="1" applyBorder="1"/>
    <xf numFmtId="2" fontId="1" fillId="13" borderId="58" xfId="0" applyNumberFormat="1" applyFont="1" applyFill="1" applyBorder="1"/>
    <xf numFmtId="0" fontId="31" fillId="0" borderId="0" xfId="0" applyFont="1" applyBorder="1"/>
    <xf numFmtId="164" fontId="8" fillId="0" borderId="0" xfId="0" applyNumberFormat="1" applyFont="1" applyBorder="1"/>
    <xf numFmtId="164" fontId="0" fillId="0" borderId="83" xfId="0" applyNumberFormat="1" applyFill="1" applyBorder="1" applyAlignment="1">
      <alignment horizontal="center" vertical="center"/>
    </xf>
    <xf numFmtId="164" fontId="0" fillId="0" borderId="83" xfId="0" applyNumberFormat="1" applyFill="1" applyBorder="1"/>
    <xf numFmtId="0" fontId="9" fillId="0" borderId="0" xfId="0" applyFont="1" applyBorder="1"/>
    <xf numFmtId="0" fontId="35" fillId="0" borderId="0" xfId="0" applyFont="1" applyBorder="1"/>
    <xf numFmtId="0" fontId="0" fillId="0" borderId="0" xfId="0" applyFill="1" applyBorder="1" applyAlignment="1">
      <alignment horizontal="right"/>
    </xf>
    <xf numFmtId="0" fontId="0" fillId="0" borderId="0" xfId="0" applyFill="1" applyBorder="1" applyAlignment="1"/>
    <xf numFmtId="0" fontId="0" fillId="13" borderId="85" xfId="0" applyFill="1" applyBorder="1" applyAlignment="1">
      <alignment horizontal="right"/>
    </xf>
    <xf numFmtId="0" fontId="0" fillId="13" borderId="86" xfId="0" applyFill="1" applyBorder="1" applyAlignment="1">
      <alignment horizontal="right"/>
    </xf>
    <xf numFmtId="0" fontId="1" fillId="0" borderId="78" xfId="0" applyFont="1" applyBorder="1"/>
    <xf numFmtId="10" fontId="8" fillId="0" borderId="0" xfId="0" applyNumberFormat="1" applyFont="1" applyFill="1" applyBorder="1"/>
    <xf numFmtId="0" fontId="33" fillId="0" borderId="81" xfId="0" applyFont="1" applyFill="1" applyBorder="1" applyAlignment="1">
      <alignment horizontal="left"/>
    </xf>
    <xf numFmtId="0" fontId="1" fillId="0" borderId="80" xfId="0" applyFont="1" applyBorder="1"/>
    <xf numFmtId="0" fontId="9" fillId="0" borderId="81" xfId="0" applyFont="1" applyBorder="1"/>
    <xf numFmtId="0" fontId="9" fillId="0" borderId="81" xfId="0" applyFont="1" applyBorder="1" applyAlignment="1">
      <alignment horizontal="left"/>
    </xf>
    <xf numFmtId="0" fontId="0" fillId="0" borderId="81" xfId="0" applyBorder="1" applyAlignment="1">
      <alignment horizontal="right"/>
    </xf>
    <xf numFmtId="0" fontId="0" fillId="0" borderId="82" xfId="0" applyBorder="1"/>
    <xf numFmtId="0" fontId="0" fillId="0" borderId="83" xfId="0" applyBorder="1"/>
    <xf numFmtId="0" fontId="0" fillId="0" borderId="84" xfId="0" applyBorder="1"/>
    <xf numFmtId="0" fontId="0" fillId="14" borderId="9" xfId="0" applyFill="1" applyBorder="1"/>
    <xf numFmtId="0" fontId="0" fillId="14" borderId="10" xfId="0" applyFill="1" applyBorder="1"/>
    <xf numFmtId="0" fontId="7" fillId="14" borderId="0" xfId="0" applyFont="1" applyFill="1" applyBorder="1"/>
    <xf numFmtId="0" fontId="7" fillId="14" borderId="75" xfId="0" applyFont="1" applyFill="1" applyBorder="1"/>
    <xf numFmtId="0" fontId="0" fillId="14" borderId="8" xfId="0" applyFill="1" applyBorder="1"/>
    <xf numFmtId="0" fontId="8" fillId="14" borderId="0" xfId="0" applyFont="1" applyFill="1" applyBorder="1"/>
    <xf numFmtId="0" fontId="1" fillId="6" borderId="38" xfId="0" applyFont="1" applyFill="1" applyBorder="1" applyAlignment="1">
      <alignment horizontal="center" vertical="center" wrapText="1"/>
    </xf>
    <xf numFmtId="0" fontId="1" fillId="6" borderId="25" xfId="0" applyFont="1" applyFill="1" applyBorder="1" applyAlignment="1">
      <alignment horizontal="center" vertical="center"/>
    </xf>
    <xf numFmtId="1" fontId="28" fillId="0" borderId="0" xfId="1" applyNumberFormat="1" applyFill="1" applyBorder="1"/>
    <xf numFmtId="0" fontId="28" fillId="0" borderId="0" xfId="1" applyFill="1"/>
    <xf numFmtId="10" fontId="28" fillId="0" borderId="0" xfId="1" applyNumberFormat="1" applyFill="1"/>
    <xf numFmtId="0" fontId="28" fillId="0" borderId="0" xfId="1" applyFont="1" applyFill="1"/>
    <xf numFmtId="0" fontId="38" fillId="2" borderId="1" xfId="1" applyFont="1" applyFill="1" applyBorder="1"/>
    <xf numFmtId="0" fontId="9" fillId="11" borderId="0" xfId="0" applyFont="1" applyFill="1" applyBorder="1"/>
    <xf numFmtId="0" fontId="28" fillId="14" borderId="1" xfId="1" applyFill="1" applyBorder="1"/>
    <xf numFmtId="3" fontId="0" fillId="2" borderId="19" xfId="0" applyNumberFormat="1" applyFill="1" applyBorder="1" applyAlignment="1">
      <alignment vertical="center"/>
    </xf>
    <xf numFmtId="3" fontId="0" fillId="13" borderId="17" xfId="0" applyNumberFormat="1" applyFill="1" applyBorder="1" applyAlignment="1">
      <alignment vertical="center"/>
    </xf>
    <xf numFmtId="3" fontId="32" fillId="13" borderId="55" xfId="0" applyNumberFormat="1" applyFont="1" applyFill="1" applyBorder="1" applyAlignment="1">
      <alignment vertical="center"/>
    </xf>
    <xf numFmtId="3" fontId="1" fillId="13" borderId="72" xfId="0" applyNumberFormat="1" applyFont="1" applyFill="1" applyBorder="1" applyAlignment="1">
      <alignment vertical="center"/>
    </xf>
    <xf numFmtId="3" fontId="1" fillId="13" borderId="16" xfId="0" applyNumberFormat="1" applyFont="1" applyFill="1" applyBorder="1" applyAlignment="1">
      <alignment vertical="center"/>
    </xf>
    <xf numFmtId="3" fontId="0" fillId="13" borderId="16" xfId="0" applyNumberFormat="1" applyFill="1" applyBorder="1" applyAlignment="1">
      <alignment vertical="center"/>
    </xf>
    <xf numFmtId="0" fontId="40" fillId="7" borderId="18" xfId="0" applyFont="1" applyFill="1" applyBorder="1" applyAlignment="1">
      <alignment vertical="center" wrapText="1"/>
    </xf>
    <xf numFmtId="0" fontId="42" fillId="7" borderId="14" xfId="0" applyFont="1" applyFill="1" applyBorder="1" applyAlignment="1">
      <alignment vertical="center" wrapText="1"/>
    </xf>
    <xf numFmtId="0" fontId="39" fillId="13" borderId="88" xfId="0" applyFont="1" applyFill="1" applyBorder="1" applyAlignment="1">
      <alignment vertical="center" wrapText="1"/>
    </xf>
    <xf numFmtId="0" fontId="39" fillId="13" borderId="89" xfId="0" applyFont="1" applyFill="1" applyBorder="1" applyAlignment="1">
      <alignment vertical="center" wrapText="1"/>
    </xf>
    <xf numFmtId="0" fontId="0" fillId="0" borderId="0" xfId="0" applyAlignment="1">
      <alignment horizontal="right"/>
    </xf>
    <xf numFmtId="0" fontId="40" fillId="7" borderId="19" xfId="0" applyFont="1" applyFill="1" applyBorder="1" applyAlignment="1">
      <alignment horizontal="right" vertical="center" wrapText="1"/>
    </xf>
    <xf numFmtId="0" fontId="39" fillId="13" borderId="25" xfId="0" applyFont="1" applyFill="1" applyBorder="1" applyAlignment="1">
      <alignment horizontal="right" vertical="center" wrapText="1"/>
    </xf>
    <xf numFmtId="0" fontId="39" fillId="13" borderId="45" xfId="0" applyFont="1" applyFill="1" applyBorder="1" applyAlignment="1">
      <alignment horizontal="right" vertical="center" wrapText="1"/>
    </xf>
    <xf numFmtId="0" fontId="40" fillId="13" borderId="90" xfId="0" applyFont="1" applyFill="1" applyBorder="1" applyAlignment="1">
      <alignment horizontal="right" vertical="center" wrapText="1"/>
    </xf>
    <xf numFmtId="0" fontId="39" fillId="0" borderId="0" xfId="0" applyFont="1" applyAlignment="1">
      <alignment horizontal="right" vertical="center" wrapText="1"/>
    </xf>
    <xf numFmtId="2" fontId="0" fillId="14" borderId="1" xfId="0" applyNumberFormat="1" applyFill="1" applyBorder="1"/>
    <xf numFmtId="3" fontId="0" fillId="14" borderId="1" xfId="0" applyNumberFormat="1" applyFill="1" applyBorder="1"/>
    <xf numFmtId="3" fontId="1" fillId="13" borderId="27" xfId="0" applyNumberFormat="1" applyFont="1" applyFill="1" applyBorder="1"/>
    <xf numFmtId="3" fontId="1" fillId="13" borderId="39" xfId="0" applyNumberFormat="1" applyFont="1" applyFill="1" applyBorder="1"/>
    <xf numFmtId="3" fontId="1" fillId="13" borderId="29" xfId="0" applyNumberFormat="1" applyFont="1" applyFill="1" applyBorder="1"/>
    <xf numFmtId="1" fontId="0" fillId="13" borderId="1" xfId="0" applyNumberFormat="1" applyFill="1" applyBorder="1" applyAlignment="1" applyProtection="1">
      <alignment vertical="center"/>
    </xf>
    <xf numFmtId="1" fontId="0" fillId="13" borderId="27" xfId="0" applyNumberFormat="1" applyFill="1" applyBorder="1" applyAlignment="1" applyProtection="1">
      <alignment vertical="center"/>
    </xf>
    <xf numFmtId="1" fontId="0" fillId="0" borderId="1" xfId="0" applyNumberFormat="1" applyBorder="1" applyAlignment="1" applyProtection="1">
      <alignment vertical="center"/>
    </xf>
    <xf numFmtId="1" fontId="0" fillId="0" borderId="1" xfId="0" applyNumberFormat="1" applyFill="1" applyBorder="1" applyAlignment="1" applyProtection="1">
      <alignment vertical="center"/>
    </xf>
    <xf numFmtId="1" fontId="0" fillId="0" borderId="27" xfId="0" applyNumberFormat="1" applyBorder="1" applyAlignment="1" applyProtection="1">
      <alignment vertical="center"/>
    </xf>
    <xf numFmtId="0" fontId="0" fillId="0" borderId="0" xfId="0" applyFill="1" applyBorder="1" applyAlignment="1">
      <alignment vertical="center"/>
    </xf>
    <xf numFmtId="0" fontId="1" fillId="2" borderId="54" xfId="0" applyFont="1" applyFill="1" applyBorder="1" applyAlignment="1"/>
    <xf numFmtId="0" fontId="43" fillId="0" borderId="0" xfId="1" applyFont="1"/>
    <xf numFmtId="0" fontId="1" fillId="6" borderId="1" xfId="0" applyFont="1" applyFill="1" applyBorder="1" applyAlignment="1">
      <alignment horizontal="center" vertical="center" wrapText="1"/>
    </xf>
    <xf numFmtId="0" fontId="38" fillId="6" borderId="1" xfId="1" applyFont="1" applyFill="1" applyBorder="1" applyAlignment="1">
      <alignment horizontal="center" vertical="center" wrapText="1"/>
    </xf>
    <xf numFmtId="0" fontId="0" fillId="6" borderId="3" xfId="0" applyFill="1" applyBorder="1" applyAlignment="1"/>
    <xf numFmtId="2" fontId="0" fillId="13" borderId="86" xfId="0" applyNumberFormat="1" applyFill="1" applyBorder="1" applyAlignment="1">
      <alignment horizontal="right"/>
    </xf>
    <xf numFmtId="2" fontId="0" fillId="13" borderId="87" xfId="0" applyNumberFormat="1" applyFill="1" applyBorder="1" applyAlignment="1">
      <alignment horizontal="right"/>
    </xf>
    <xf numFmtId="1" fontId="39" fillId="13" borderId="26" xfId="0" applyNumberFormat="1" applyFont="1" applyFill="1" applyBorder="1" applyAlignment="1">
      <alignment vertical="center" wrapText="1"/>
    </xf>
    <xf numFmtId="0" fontId="39" fillId="13" borderId="1" xfId="0" applyFont="1" applyFill="1" applyBorder="1" applyAlignment="1">
      <alignment vertical="center" wrapText="1"/>
    </xf>
    <xf numFmtId="0" fontId="39" fillId="13" borderId="27" xfId="0" applyFont="1" applyFill="1" applyBorder="1" applyAlignment="1">
      <alignment vertical="center" wrapText="1"/>
    </xf>
    <xf numFmtId="0" fontId="1" fillId="13" borderId="1" xfId="0" applyFont="1" applyFill="1" applyBorder="1" applyAlignment="1">
      <alignment horizontal="left" vertical="center"/>
    </xf>
    <xf numFmtId="4" fontId="0" fillId="13" borderId="1" xfId="0" applyNumberFormat="1" applyFill="1" applyBorder="1"/>
    <xf numFmtId="3" fontId="0" fillId="13" borderId="1" xfId="0" applyNumberFormat="1" applyFill="1" applyBorder="1"/>
    <xf numFmtId="0" fontId="1" fillId="2" borderId="8" xfId="0" applyFont="1" applyFill="1" applyBorder="1"/>
    <xf numFmtId="0" fontId="0" fillId="2" borderId="9" xfId="0" applyFill="1" applyBorder="1"/>
    <xf numFmtId="0" fontId="0" fillId="2" borderId="10" xfId="0" applyFill="1" applyBorder="1"/>
    <xf numFmtId="0" fontId="22" fillId="12" borderId="0" xfId="0" applyFont="1" applyFill="1" applyBorder="1" applyAlignment="1">
      <alignment vertical="top" wrapText="1"/>
    </xf>
    <xf numFmtId="0" fontId="22" fillId="12" borderId="0" xfId="0" applyFont="1" applyFill="1" applyBorder="1" applyAlignment="1">
      <alignment vertical="top"/>
    </xf>
    <xf numFmtId="168" fontId="22" fillId="12" borderId="0" xfId="0" applyNumberFormat="1" applyFont="1" applyFill="1" applyBorder="1" applyAlignment="1">
      <alignment vertical="top" wrapText="1"/>
    </xf>
    <xf numFmtId="169" fontId="0" fillId="15" borderId="1" xfId="0" applyNumberFormat="1" applyFill="1" applyBorder="1"/>
    <xf numFmtId="0" fontId="0" fillId="15" borderId="1" xfId="0" applyFill="1" applyBorder="1"/>
    <xf numFmtId="0" fontId="0" fillId="15" borderId="1" xfId="0" applyFill="1" applyBorder="1" applyAlignment="1"/>
    <xf numFmtId="4" fontId="1" fillId="15" borderId="1" xfId="0" applyNumberFormat="1" applyFont="1" applyFill="1" applyBorder="1"/>
    <xf numFmtId="3" fontId="1" fillId="15" borderId="1" xfId="0" applyNumberFormat="1" applyFont="1" applyFill="1" applyBorder="1"/>
    <xf numFmtId="0" fontId="0" fillId="15" borderId="1" xfId="0" applyFont="1" applyFill="1" applyBorder="1"/>
    <xf numFmtId="164" fontId="0" fillId="15" borderId="1" xfId="0" applyNumberFormat="1" applyFont="1" applyFill="1" applyBorder="1"/>
    <xf numFmtId="164" fontId="44" fillId="15" borderId="1" xfId="0" applyNumberFormat="1" applyFont="1" applyFill="1" applyBorder="1" applyAlignment="1">
      <alignment vertical="top" wrapText="1"/>
    </xf>
    <xf numFmtId="3" fontId="0" fillId="15" borderId="1" xfId="0" applyNumberFormat="1" applyFont="1" applyFill="1" applyBorder="1"/>
    <xf numFmtId="0" fontId="28" fillId="0" borderId="1" xfId="0" applyFont="1" applyFill="1" applyBorder="1" applyAlignment="1"/>
    <xf numFmtId="0" fontId="0" fillId="0" borderId="1" xfId="0" applyFill="1" applyBorder="1" applyAlignment="1"/>
    <xf numFmtId="0" fontId="0" fillId="0" borderId="26" xfId="0" applyFill="1" applyBorder="1"/>
    <xf numFmtId="164" fontId="0" fillId="0" borderId="1" xfId="0" applyNumberFormat="1" applyFill="1" applyBorder="1"/>
    <xf numFmtId="1" fontId="0" fillId="0" borderId="1" xfId="0" applyNumberFormat="1" applyFill="1" applyBorder="1"/>
    <xf numFmtId="2" fontId="0" fillId="0" borderId="1" xfId="0" applyNumberFormat="1" applyFill="1" applyBorder="1"/>
    <xf numFmtId="10" fontId="0" fillId="0" borderId="42" xfId="0" applyNumberFormat="1" applyFill="1" applyBorder="1"/>
    <xf numFmtId="2" fontId="0" fillId="0" borderId="43" xfId="0" applyNumberFormat="1" applyFill="1" applyBorder="1"/>
    <xf numFmtId="10" fontId="0" fillId="0" borderId="1" xfId="0" applyNumberFormat="1" applyFill="1" applyBorder="1"/>
    <xf numFmtId="2" fontId="28" fillId="0" borderId="1" xfId="0" applyNumberFormat="1" applyFont="1" applyFill="1" applyBorder="1"/>
    <xf numFmtId="0" fontId="0" fillId="0" borderId="44" xfId="0" applyFill="1" applyBorder="1"/>
    <xf numFmtId="0" fontId="0" fillId="0" borderId="6" xfId="0" applyFill="1" applyBorder="1" applyAlignment="1"/>
    <xf numFmtId="164" fontId="0" fillId="0" borderId="6" xfId="0" applyNumberFormat="1" applyFill="1" applyBorder="1"/>
    <xf numFmtId="10" fontId="0" fillId="0" borderId="6" xfId="0" applyNumberFormat="1" applyFill="1" applyBorder="1"/>
    <xf numFmtId="2" fontId="22" fillId="0" borderId="19" xfId="0" applyNumberFormat="1" applyFont="1" applyFill="1" applyBorder="1" applyAlignment="1">
      <alignment horizontal="right" vertical="top" wrapText="1"/>
    </xf>
    <xf numFmtId="2" fontId="22" fillId="0" borderId="0" xfId="0" applyNumberFormat="1" applyFont="1" applyFill="1" applyBorder="1" applyAlignment="1">
      <alignment horizontal="right" vertical="top" wrapText="1"/>
    </xf>
    <xf numFmtId="2" fontId="0" fillId="0" borderId="6" xfId="0" applyNumberFormat="1" applyFill="1" applyBorder="1"/>
    <xf numFmtId="1" fontId="0" fillId="0" borderId="6" xfId="0" applyNumberFormat="1" applyFill="1" applyBorder="1"/>
    <xf numFmtId="2" fontId="0" fillId="0" borderId="91" xfId="0" applyNumberFormat="1" applyFill="1" applyBorder="1"/>
    <xf numFmtId="0" fontId="0" fillId="15" borderId="42" xfId="0" applyFont="1" applyFill="1" applyBorder="1"/>
    <xf numFmtId="0" fontId="0" fillId="0" borderId="22" xfId="0" applyBorder="1"/>
    <xf numFmtId="0" fontId="22" fillId="12" borderId="40" xfId="0" applyFont="1" applyFill="1" applyBorder="1" applyAlignment="1">
      <alignment vertical="top"/>
    </xf>
    <xf numFmtId="169" fontId="0" fillId="0" borderId="6" xfId="0" applyNumberFormat="1" applyBorder="1"/>
    <xf numFmtId="0" fontId="1" fillId="15" borderId="42" xfId="0" applyFont="1" applyFill="1" applyBorder="1" applyAlignment="1"/>
    <xf numFmtId="169" fontId="0" fillId="15" borderId="42" xfId="0" applyNumberFormat="1" applyFill="1" applyBorder="1"/>
    <xf numFmtId="0" fontId="0" fillId="15" borderId="42" xfId="0" applyFill="1" applyBorder="1"/>
    <xf numFmtId="169" fontId="1" fillId="13" borderId="89" xfId="0" applyNumberFormat="1" applyFont="1" applyFill="1" applyBorder="1"/>
    <xf numFmtId="168" fontId="1" fillId="13" borderId="90" xfId="0" applyNumberFormat="1" applyFont="1" applyFill="1" applyBorder="1"/>
    <xf numFmtId="0" fontId="1" fillId="0" borderId="88" xfId="0" applyFont="1" applyFill="1" applyBorder="1"/>
    <xf numFmtId="169" fontId="1" fillId="0" borderId="89" xfId="0" applyNumberFormat="1" applyFont="1" applyFill="1" applyBorder="1"/>
    <xf numFmtId="3" fontId="44" fillId="15" borderId="42" xfId="0" applyNumberFormat="1" applyFont="1" applyFill="1" applyBorder="1" applyAlignment="1">
      <alignment vertical="top" wrapText="1"/>
    </xf>
    <xf numFmtId="3" fontId="1" fillId="15" borderId="42" xfId="0" applyNumberFormat="1" applyFont="1" applyFill="1" applyBorder="1"/>
    <xf numFmtId="169" fontId="19" fillId="14" borderId="35" xfId="0" applyNumberFormat="1" applyFont="1" applyFill="1" applyBorder="1" applyAlignment="1">
      <alignment horizontal="right" vertical="center"/>
    </xf>
    <xf numFmtId="169" fontId="19" fillId="14" borderId="37" xfId="0" applyNumberFormat="1" applyFont="1" applyFill="1" applyBorder="1" applyAlignment="1">
      <alignment horizontal="right" vertical="center"/>
    </xf>
    <xf numFmtId="169" fontId="21" fillId="0" borderId="35" xfId="0" applyNumberFormat="1" applyFont="1" applyBorder="1" applyAlignment="1">
      <alignment horizontal="right" vertical="center"/>
    </xf>
    <xf numFmtId="169" fontId="20" fillId="0" borderId="35" xfId="0" applyNumberFormat="1" applyFont="1" applyBorder="1" applyAlignment="1">
      <alignment horizontal="right" vertical="center"/>
    </xf>
    <xf numFmtId="1" fontId="0" fillId="14" borderId="1" xfId="0" applyNumberFormat="1" applyFill="1" applyBorder="1" applyAlignment="1">
      <alignment vertical="center"/>
    </xf>
    <xf numFmtId="0" fontId="23" fillId="16" borderId="38" xfId="0" applyFont="1" applyFill="1" applyBorder="1" applyAlignment="1">
      <alignment vertical="top" wrapText="1"/>
    </xf>
    <xf numFmtId="0" fontId="45" fillId="0" borderId="0" xfId="0" applyFont="1"/>
    <xf numFmtId="0" fontId="8" fillId="0" borderId="0" xfId="0" applyFont="1" applyFill="1" applyAlignment="1"/>
    <xf numFmtId="0" fontId="8" fillId="0" borderId="92" xfId="0" applyFont="1" applyFill="1" applyBorder="1"/>
    <xf numFmtId="0" fontId="28" fillId="14" borderId="9" xfId="1" applyFill="1" applyBorder="1"/>
    <xf numFmtId="0" fontId="28" fillId="14" borderId="10" xfId="1" applyFill="1" applyBorder="1"/>
    <xf numFmtId="0" fontId="28" fillId="14" borderId="41" xfId="1" applyFill="1" applyBorder="1"/>
    <xf numFmtId="0" fontId="28" fillId="14" borderId="0" xfId="1" applyFill="1" applyBorder="1"/>
    <xf numFmtId="0" fontId="28" fillId="14" borderId="75" xfId="1" applyFill="1" applyBorder="1"/>
    <xf numFmtId="0" fontId="28" fillId="14" borderId="11" xfId="1" applyFill="1" applyBorder="1"/>
    <xf numFmtId="0" fontId="28" fillId="14" borderId="12" xfId="1" applyFill="1" applyBorder="1"/>
    <xf numFmtId="0" fontId="28" fillId="14" borderId="13" xfId="1" applyFill="1" applyBorder="1"/>
    <xf numFmtId="0" fontId="1" fillId="2" borderId="51" xfId="0" applyFont="1" applyFill="1" applyBorder="1" applyAlignment="1">
      <alignment vertical="center"/>
    </xf>
    <xf numFmtId="0" fontId="41" fillId="7" borderId="16" xfId="0" applyFont="1" applyFill="1" applyBorder="1" applyAlignment="1">
      <alignment horizontal="right" vertical="center" wrapText="1"/>
    </xf>
    <xf numFmtId="0" fontId="1" fillId="6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11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9" fillId="0" borderId="0" xfId="0" applyFont="1" applyAlignment="1">
      <alignment vertical="center"/>
    </xf>
    <xf numFmtId="0" fontId="28" fillId="11" borderId="26" xfId="1" applyFill="1" applyBorder="1"/>
    <xf numFmtId="0" fontId="28" fillId="11" borderId="1" xfId="1" applyFill="1" applyBorder="1" applyAlignment="1"/>
    <xf numFmtId="164" fontId="28" fillId="11" borderId="1" xfId="1" applyNumberFormat="1" applyFill="1" applyBorder="1"/>
    <xf numFmtId="1" fontId="28" fillId="11" borderId="1" xfId="1" applyNumberFormat="1" applyFill="1" applyBorder="1"/>
    <xf numFmtId="2" fontId="28" fillId="11" borderId="1" xfId="1" applyNumberFormat="1" applyFill="1" applyBorder="1"/>
    <xf numFmtId="10" fontId="28" fillId="11" borderId="1" xfId="1" applyNumberFormat="1" applyFill="1" applyBorder="1"/>
    <xf numFmtId="2" fontId="28" fillId="11" borderId="2" xfId="1" applyNumberFormat="1" applyFill="1" applyBorder="1"/>
    <xf numFmtId="2" fontId="28" fillId="11" borderId="1" xfId="1" applyNumberFormat="1" applyFont="1" applyFill="1" applyBorder="1"/>
    <xf numFmtId="0" fontId="28" fillId="11" borderId="44" xfId="1" applyFill="1" applyBorder="1"/>
    <xf numFmtId="0" fontId="28" fillId="11" borderId="1" xfId="1" applyFont="1" applyFill="1" applyBorder="1" applyAlignment="1"/>
    <xf numFmtId="2" fontId="28" fillId="11" borderId="11" xfId="1" applyNumberFormat="1" applyFill="1" applyBorder="1"/>
    <xf numFmtId="0" fontId="22" fillId="11" borderId="22" xfId="1" applyFont="1" applyFill="1" applyBorder="1" applyAlignment="1">
      <alignment vertical="top"/>
    </xf>
    <xf numFmtId="0" fontId="28" fillId="11" borderId="40" xfId="1" applyFill="1" applyBorder="1"/>
    <xf numFmtId="0" fontId="22" fillId="11" borderId="40" xfId="1" applyFont="1" applyFill="1" applyBorder="1" applyAlignment="1">
      <alignment vertical="top" wrapText="1"/>
    </xf>
    <xf numFmtId="168" fontId="22" fillId="11" borderId="40" xfId="1" applyNumberFormat="1" applyFont="1" applyFill="1" applyBorder="1" applyAlignment="1">
      <alignment vertical="top" wrapText="1"/>
    </xf>
    <xf numFmtId="2" fontId="22" fillId="11" borderId="19" xfId="1" applyNumberFormat="1" applyFont="1" applyFill="1" applyBorder="1" applyAlignment="1">
      <alignment horizontal="right" vertical="top" wrapText="1"/>
    </xf>
    <xf numFmtId="0" fontId="0" fillId="14" borderId="22" xfId="0" applyFill="1" applyBorder="1" applyAlignment="1" applyProtection="1">
      <alignment horizontal="left" vertical="center"/>
      <protection locked="0"/>
    </xf>
    <xf numFmtId="0" fontId="0" fillId="14" borderId="40" xfId="0" applyFill="1" applyBorder="1" applyAlignment="1" applyProtection="1">
      <alignment horizontal="left" vertical="center"/>
      <protection locked="0"/>
    </xf>
    <xf numFmtId="0" fontId="0" fillId="14" borderId="19" xfId="0" applyFill="1" applyBorder="1" applyAlignment="1" applyProtection="1">
      <alignment horizontal="left" vertical="center"/>
      <protection locked="0"/>
    </xf>
    <xf numFmtId="0" fontId="39" fillId="14" borderId="24" xfId="0" applyFont="1" applyFill="1" applyBorder="1" applyAlignment="1" applyProtection="1">
      <alignment vertical="center" wrapText="1"/>
      <protection locked="0"/>
    </xf>
    <xf numFmtId="0" fontId="39" fillId="14" borderId="38" xfId="0" applyFont="1" applyFill="1" applyBorder="1" applyAlignment="1" applyProtection="1">
      <alignment vertical="center" wrapText="1"/>
      <protection locked="0"/>
    </xf>
    <xf numFmtId="0" fontId="39" fillId="14" borderId="44" xfId="0" applyFont="1" applyFill="1" applyBorder="1" applyAlignment="1" applyProtection="1">
      <alignment vertical="center" wrapText="1"/>
      <protection locked="0"/>
    </xf>
    <xf numFmtId="0" fontId="39" fillId="14" borderId="6" xfId="0" applyFont="1" applyFill="1" applyBorder="1" applyAlignment="1" applyProtection="1">
      <alignment vertical="center" wrapText="1"/>
      <protection locked="0"/>
    </xf>
    <xf numFmtId="0" fontId="39" fillId="14" borderId="25" xfId="0" applyFont="1" applyFill="1" applyBorder="1" applyAlignment="1" applyProtection="1">
      <alignment vertical="center" wrapText="1"/>
      <protection locked="0"/>
    </xf>
    <xf numFmtId="0" fontId="39" fillId="14" borderId="26" xfId="0" applyFont="1" applyFill="1" applyBorder="1" applyAlignment="1" applyProtection="1">
      <alignment vertical="center" wrapText="1"/>
      <protection locked="0"/>
    </xf>
    <xf numFmtId="0" fontId="39" fillId="14" borderId="1" xfId="0" applyFont="1" applyFill="1" applyBorder="1" applyAlignment="1" applyProtection="1">
      <alignment vertical="center" wrapText="1"/>
      <protection locked="0"/>
    </xf>
    <xf numFmtId="0" fontId="39" fillId="14" borderId="27" xfId="0" applyFont="1" applyFill="1" applyBorder="1" applyAlignment="1" applyProtection="1">
      <alignment vertical="center" wrapText="1"/>
      <protection locked="0"/>
    </xf>
    <xf numFmtId="0" fontId="39" fillId="14" borderId="28" xfId="0" applyFont="1" applyFill="1" applyBorder="1" applyAlignment="1" applyProtection="1">
      <alignment vertical="center" wrapText="1"/>
      <protection locked="0"/>
    </xf>
    <xf numFmtId="0" fontId="39" fillId="14" borderId="39" xfId="0" applyFont="1" applyFill="1" applyBorder="1" applyAlignment="1" applyProtection="1">
      <alignment vertical="center" wrapText="1"/>
      <protection locked="0"/>
    </xf>
    <xf numFmtId="0" fontId="39" fillId="14" borderId="29" xfId="0" applyFont="1" applyFill="1" applyBorder="1" applyAlignment="1" applyProtection="1">
      <alignment vertical="center" wrapText="1"/>
      <protection locked="0"/>
    </xf>
    <xf numFmtId="0" fontId="28" fillId="14" borderId="1" xfId="1" applyFont="1" applyFill="1" applyBorder="1" applyAlignment="1" applyProtection="1"/>
    <xf numFmtId="0" fontId="38" fillId="0" borderId="0" xfId="1" applyFont="1"/>
    <xf numFmtId="0" fontId="38" fillId="14" borderId="8" xfId="1" applyFont="1" applyFill="1" applyBorder="1"/>
    <xf numFmtId="0" fontId="0" fillId="0" borderId="77" xfId="0" applyBorder="1" applyProtection="1"/>
    <xf numFmtId="0" fontId="0" fillId="0" borderId="78" xfId="0" applyBorder="1" applyProtection="1"/>
    <xf numFmtId="0" fontId="0" fillId="0" borderId="79" xfId="0" applyBorder="1" applyProtection="1"/>
    <xf numFmtId="0" fontId="0" fillId="0" borderId="0" xfId="0" applyProtection="1"/>
    <xf numFmtId="0" fontId="0" fillId="0" borderId="80" xfId="0" applyBorder="1" applyProtection="1"/>
    <xf numFmtId="0" fontId="1" fillId="2" borderId="24" xfId="0" applyFont="1" applyFill="1" applyBorder="1" applyProtection="1"/>
    <xf numFmtId="0" fontId="0" fillId="6" borderId="38" xfId="0" applyFill="1" applyBorder="1" applyProtection="1"/>
    <xf numFmtId="0" fontId="0" fillId="0" borderId="0" xfId="0" applyBorder="1" applyProtection="1"/>
    <xf numFmtId="0" fontId="7" fillId="0" borderId="0" xfId="0" applyFont="1" applyBorder="1" applyProtection="1"/>
    <xf numFmtId="0" fontId="0" fillId="0" borderId="81" xfId="0" applyBorder="1" applyProtection="1"/>
    <xf numFmtId="0" fontId="9" fillId="0" borderId="0" xfId="0" applyFont="1" applyProtection="1"/>
    <xf numFmtId="0" fontId="1" fillId="2" borderId="26" xfId="0" applyFont="1" applyFill="1" applyBorder="1" applyProtection="1"/>
    <xf numFmtId="0" fontId="0" fillId="6" borderId="1" xfId="0" applyFill="1" applyBorder="1" applyProtection="1"/>
    <xf numFmtId="0" fontId="35" fillId="0" borderId="0" xfId="0" applyFont="1" applyBorder="1" applyProtection="1"/>
    <xf numFmtId="0" fontId="9" fillId="0" borderId="0" xfId="0" applyFont="1" applyBorder="1" applyProtection="1"/>
    <xf numFmtId="0" fontId="8" fillId="0" borderId="0" xfId="0" applyFont="1" applyBorder="1" applyProtection="1"/>
    <xf numFmtId="170" fontId="0" fillId="0" borderId="0" xfId="0" applyNumberFormat="1" applyBorder="1" applyProtection="1"/>
    <xf numFmtId="170" fontId="0" fillId="0" borderId="0" xfId="0" applyNumberFormat="1" applyProtection="1"/>
    <xf numFmtId="0" fontId="1" fillId="2" borderId="28" xfId="0" applyFont="1" applyFill="1" applyBorder="1" applyProtection="1"/>
    <xf numFmtId="0" fontId="0" fillId="6" borderId="39" xfId="0" applyFill="1" applyBorder="1" applyProtection="1"/>
    <xf numFmtId="0" fontId="1" fillId="0" borderId="0" xfId="0" applyFont="1" applyBorder="1" applyProtection="1"/>
    <xf numFmtId="0" fontId="31" fillId="0" borderId="0" xfId="0" applyFont="1" applyBorder="1" applyProtection="1"/>
    <xf numFmtId="0" fontId="34" fillId="0" borderId="81" xfId="0" applyFont="1" applyBorder="1" applyProtection="1"/>
    <xf numFmtId="0" fontId="1" fillId="6" borderId="46" xfId="0" applyFont="1" applyFill="1" applyBorder="1" applyAlignment="1" applyProtection="1">
      <alignment horizontal="left" vertical="center"/>
    </xf>
    <xf numFmtId="0" fontId="1" fillId="6" borderId="30" xfId="0" applyFont="1" applyFill="1" applyBorder="1" applyAlignment="1" applyProtection="1">
      <alignment horizontal="center" vertical="center"/>
    </xf>
    <xf numFmtId="0" fontId="0" fillId="6" borderId="21" xfId="0" applyFill="1" applyBorder="1" applyAlignment="1" applyProtection="1">
      <alignment horizontal="center" vertical="center"/>
    </xf>
    <xf numFmtId="0" fontId="1" fillId="6" borderId="30" xfId="0" applyFont="1" applyFill="1" applyBorder="1" applyProtection="1"/>
    <xf numFmtId="0" fontId="0" fillId="6" borderId="21" xfId="0" applyFill="1" applyBorder="1" applyProtection="1"/>
    <xf numFmtId="0" fontId="0" fillId="6" borderId="11" xfId="0" applyFill="1" applyBorder="1" applyAlignment="1" applyProtection="1">
      <alignment horizontal="center" vertical="center"/>
    </xf>
    <xf numFmtId="0" fontId="0" fillId="6" borderId="12" xfId="0" applyFill="1" applyBorder="1" applyAlignment="1" applyProtection="1">
      <alignment horizontal="center" vertical="center"/>
    </xf>
    <xf numFmtId="0" fontId="0" fillId="6" borderId="47" xfId="0" applyFill="1" applyBorder="1" applyAlignment="1" applyProtection="1">
      <alignment horizontal="center" vertical="center"/>
    </xf>
    <xf numFmtId="0" fontId="0" fillId="6" borderId="26" xfId="0" applyFill="1" applyBorder="1" applyAlignment="1" applyProtection="1">
      <alignment horizontal="center" vertical="center"/>
    </xf>
    <xf numFmtId="0" fontId="0" fillId="6" borderId="28" xfId="0" applyFill="1" applyBorder="1" applyAlignment="1" applyProtection="1">
      <alignment horizontal="center" vertical="center"/>
    </xf>
    <xf numFmtId="0" fontId="0" fillId="0" borderId="82" xfId="0" applyFill="1" applyBorder="1" applyProtection="1"/>
    <xf numFmtId="0" fontId="0" fillId="0" borderId="83" xfId="0" applyFill="1" applyBorder="1" applyAlignment="1" applyProtection="1">
      <alignment horizontal="center" vertical="center"/>
    </xf>
    <xf numFmtId="49" fontId="0" fillId="0" borderId="83" xfId="0" applyNumberFormat="1" applyFill="1" applyBorder="1" applyAlignment="1" applyProtection="1">
      <alignment horizontal="center" vertical="center"/>
    </xf>
    <xf numFmtId="1" fontId="0" fillId="0" borderId="83" xfId="0" applyNumberFormat="1" applyFill="1" applyBorder="1" applyAlignment="1" applyProtection="1">
      <alignment horizontal="center" vertical="center"/>
    </xf>
    <xf numFmtId="0" fontId="0" fillId="0" borderId="83" xfId="0" applyFill="1" applyBorder="1" applyProtection="1"/>
    <xf numFmtId="0" fontId="0" fillId="0" borderId="84" xfId="0" applyFill="1" applyBorder="1" applyProtection="1"/>
    <xf numFmtId="0" fontId="0" fillId="0" borderId="0" xfId="0" applyFill="1" applyProtection="1"/>
    <xf numFmtId="0" fontId="0" fillId="0" borderId="0" xfId="0" applyFill="1" applyBorder="1" applyProtection="1"/>
    <xf numFmtId="0" fontId="0" fillId="13" borderId="51" xfId="0" applyFill="1" applyBorder="1" applyProtection="1"/>
    <xf numFmtId="0" fontId="0" fillId="13" borderId="52" xfId="0" applyFill="1" applyBorder="1" applyProtection="1"/>
    <xf numFmtId="0" fontId="0" fillId="13" borderId="76" xfId="0" applyFill="1" applyBorder="1" applyProtection="1"/>
    <xf numFmtId="0" fontId="0" fillId="13" borderId="25" xfId="0" applyFill="1" applyBorder="1" applyProtection="1"/>
    <xf numFmtId="0" fontId="1" fillId="0" borderId="0" xfId="0" applyFont="1" applyProtection="1"/>
    <xf numFmtId="170" fontId="1" fillId="13" borderId="24" xfId="0" applyNumberFormat="1" applyFont="1" applyFill="1" applyBorder="1" applyProtection="1"/>
    <xf numFmtId="170" fontId="1" fillId="13" borderId="38" xfId="0" applyNumberFormat="1" applyFont="1" applyFill="1" applyBorder="1" applyProtection="1"/>
    <xf numFmtId="171" fontId="1" fillId="13" borderId="25" xfId="0" applyNumberFormat="1" applyFont="1" applyFill="1" applyBorder="1" applyProtection="1"/>
    <xf numFmtId="0" fontId="0" fillId="13" borderId="54" xfId="0" applyFill="1" applyBorder="1" applyProtection="1"/>
    <xf numFmtId="0" fontId="0" fillId="13" borderId="3" xfId="0" applyFill="1" applyBorder="1" applyProtection="1"/>
    <xf numFmtId="0" fontId="0" fillId="13" borderId="4" xfId="0" applyFill="1" applyBorder="1" applyProtection="1"/>
    <xf numFmtId="1" fontId="0" fillId="13" borderId="27" xfId="0" applyNumberFormat="1" applyFill="1" applyBorder="1" applyProtection="1"/>
    <xf numFmtId="0" fontId="0" fillId="13" borderId="27" xfId="0" applyFill="1" applyBorder="1" applyProtection="1"/>
    <xf numFmtId="170" fontId="1" fillId="13" borderId="28" xfId="0" applyNumberFormat="1" applyFont="1" applyFill="1" applyBorder="1" applyProtection="1"/>
    <xf numFmtId="170" fontId="1" fillId="13" borderId="39" xfId="0" applyNumberFormat="1" applyFont="1" applyFill="1" applyBorder="1" applyProtection="1"/>
    <xf numFmtId="171" fontId="1" fillId="13" borderId="29" xfId="0" applyNumberFormat="1" applyFont="1" applyFill="1" applyBorder="1" applyProtection="1"/>
    <xf numFmtId="0" fontId="1" fillId="13" borderId="54" xfId="0" applyFont="1" applyFill="1" applyBorder="1" applyProtection="1"/>
    <xf numFmtId="0" fontId="1" fillId="13" borderId="3" xfId="0" applyFont="1" applyFill="1" applyBorder="1" applyProtection="1"/>
    <xf numFmtId="2" fontId="1" fillId="13" borderId="27" xfId="0" applyNumberFormat="1" applyFont="1" applyFill="1" applyBorder="1" applyProtection="1"/>
    <xf numFmtId="0" fontId="8" fillId="0" borderId="0" xfId="0" applyFont="1" applyProtection="1"/>
    <xf numFmtId="1" fontId="1" fillId="13" borderId="27" xfId="0" applyNumberFormat="1" applyFont="1" applyFill="1" applyBorder="1" applyProtection="1"/>
    <xf numFmtId="167" fontId="0" fillId="13" borderId="27" xfId="0" applyNumberFormat="1" applyFill="1" applyBorder="1" applyProtection="1"/>
    <xf numFmtId="167" fontId="1" fillId="13" borderId="27" xfId="0" applyNumberFormat="1" applyFont="1" applyFill="1" applyBorder="1" applyProtection="1"/>
    <xf numFmtId="170" fontId="1" fillId="13" borderId="54" xfId="0" applyNumberFormat="1" applyFont="1" applyFill="1" applyBorder="1" applyProtection="1"/>
    <xf numFmtId="170" fontId="0" fillId="13" borderId="3" xfId="0" applyNumberFormat="1" applyFill="1" applyBorder="1" applyProtection="1"/>
    <xf numFmtId="170" fontId="1" fillId="13" borderId="3" xfId="0" applyNumberFormat="1" applyFont="1" applyFill="1" applyBorder="1" applyProtection="1"/>
    <xf numFmtId="171" fontId="1" fillId="13" borderId="27" xfId="0" applyNumberFormat="1" applyFont="1" applyFill="1" applyBorder="1" applyProtection="1"/>
    <xf numFmtId="0" fontId="1" fillId="13" borderId="56" xfId="0" applyFont="1" applyFill="1" applyBorder="1" applyProtection="1"/>
    <xf numFmtId="0" fontId="1" fillId="13" borderId="57" xfId="0" applyFont="1" applyFill="1" applyBorder="1" applyProtection="1"/>
    <xf numFmtId="0" fontId="0" fillId="13" borderId="70" xfId="0" applyFill="1" applyBorder="1" applyProtection="1"/>
    <xf numFmtId="167" fontId="1" fillId="13" borderId="29" xfId="0" applyNumberFormat="1" applyFont="1" applyFill="1" applyBorder="1" applyProtection="1"/>
    <xf numFmtId="170" fontId="1" fillId="13" borderId="56" xfId="0" applyNumberFormat="1" applyFont="1" applyFill="1" applyBorder="1" applyProtection="1"/>
    <xf numFmtId="170" fontId="0" fillId="13" borderId="57" xfId="0" applyNumberFormat="1" applyFill="1" applyBorder="1" applyProtection="1"/>
    <xf numFmtId="170" fontId="1" fillId="13" borderId="57" xfId="0" applyNumberFormat="1" applyFont="1" applyFill="1" applyBorder="1" applyProtection="1"/>
    <xf numFmtId="0" fontId="8" fillId="0" borderId="49" xfId="0" applyFont="1" applyFill="1" applyBorder="1" applyProtection="1"/>
    <xf numFmtId="49" fontId="0" fillId="14" borderId="1" xfId="0" applyNumberFormat="1" applyFill="1" applyBorder="1" applyAlignment="1" applyProtection="1">
      <alignment horizontal="center" vertical="center"/>
      <protection locked="0"/>
    </xf>
    <xf numFmtId="0" fontId="0" fillId="14" borderId="1" xfId="0" applyFill="1" applyBorder="1" applyAlignment="1" applyProtection="1">
      <alignment horizontal="center" vertical="center"/>
      <protection locked="0"/>
    </xf>
    <xf numFmtId="1" fontId="0" fillId="14" borderId="1" xfId="0" applyNumberFormat="1" applyFill="1" applyBorder="1" applyAlignment="1" applyProtection="1">
      <alignment horizontal="center" vertical="center"/>
      <protection locked="0"/>
    </xf>
    <xf numFmtId="1" fontId="0" fillId="14" borderId="27" xfId="0" applyNumberFormat="1" applyFill="1" applyBorder="1" applyAlignment="1" applyProtection="1">
      <alignment horizontal="center" vertical="center"/>
      <protection locked="0"/>
    </xf>
    <xf numFmtId="49" fontId="0" fillId="14" borderId="39" xfId="0" applyNumberFormat="1" applyFill="1" applyBorder="1" applyAlignment="1" applyProtection="1">
      <alignment horizontal="center" vertical="center"/>
      <protection locked="0"/>
    </xf>
    <xf numFmtId="0" fontId="0" fillId="14" borderId="39" xfId="0" applyFill="1" applyBorder="1" applyAlignment="1" applyProtection="1">
      <alignment horizontal="center" vertical="center"/>
      <protection locked="0"/>
    </xf>
    <xf numFmtId="1" fontId="0" fillId="14" borderId="39" xfId="0" applyNumberFormat="1" applyFill="1" applyBorder="1" applyAlignment="1" applyProtection="1">
      <alignment horizontal="center" vertical="center"/>
      <protection locked="0"/>
    </xf>
    <xf numFmtId="1" fontId="0" fillId="14" borderId="29" xfId="0" applyNumberFormat="1" applyFill="1" applyBorder="1" applyAlignment="1" applyProtection="1">
      <alignment horizontal="center" vertical="center"/>
      <protection locked="0"/>
    </xf>
    <xf numFmtId="0" fontId="0" fillId="14" borderId="27" xfId="0" applyFill="1" applyBorder="1" applyAlignment="1" applyProtection="1">
      <alignment horizontal="center" vertical="center"/>
      <protection locked="0"/>
    </xf>
    <xf numFmtId="0" fontId="0" fillId="14" borderId="29" xfId="0" applyFill="1" applyBorder="1" applyAlignment="1" applyProtection="1">
      <alignment horizontal="center" vertical="center"/>
      <protection locked="0"/>
    </xf>
    <xf numFmtId="164" fontId="0" fillId="14" borderId="1" xfId="0" applyNumberFormat="1" applyFill="1" applyBorder="1" applyAlignment="1" applyProtection="1">
      <alignment horizontal="center" vertical="center"/>
      <protection locked="0"/>
    </xf>
    <xf numFmtId="0" fontId="1" fillId="0" borderId="78" xfId="0" applyFont="1" applyBorder="1" applyProtection="1"/>
    <xf numFmtId="0" fontId="0" fillId="6" borderId="59" xfId="0" applyFill="1" applyBorder="1" applyProtection="1"/>
    <xf numFmtId="0" fontId="0" fillId="13" borderId="85" xfId="0" applyFill="1" applyBorder="1" applyAlignment="1" applyProtection="1">
      <alignment horizontal="right"/>
    </xf>
    <xf numFmtId="0" fontId="0" fillId="6" borderId="3" xfId="0" applyFill="1" applyBorder="1" applyProtection="1"/>
    <xf numFmtId="0" fontId="0" fillId="13" borderId="86" xfId="0" applyFill="1" applyBorder="1" applyAlignment="1" applyProtection="1">
      <alignment horizontal="right"/>
    </xf>
    <xf numFmtId="0" fontId="9" fillId="11" borderId="0" xfId="0" applyFont="1" applyFill="1" applyBorder="1" applyProtection="1"/>
    <xf numFmtId="0" fontId="1" fillId="2" borderId="54" xfId="0" applyFont="1" applyFill="1" applyBorder="1" applyAlignment="1" applyProtection="1"/>
    <xf numFmtId="0" fontId="0" fillId="0" borderId="0" xfId="0" applyFill="1" applyBorder="1" applyAlignment="1" applyProtection="1">
      <alignment horizontal="right"/>
    </xf>
    <xf numFmtId="0" fontId="0" fillId="6" borderId="3" xfId="0" applyFill="1" applyBorder="1" applyAlignment="1" applyProtection="1"/>
    <xf numFmtId="0" fontId="0" fillId="0" borderId="0" xfId="0" applyFill="1" applyBorder="1" applyAlignment="1" applyProtection="1"/>
    <xf numFmtId="0" fontId="0" fillId="6" borderId="63" xfId="0" applyFill="1" applyBorder="1" applyProtection="1"/>
    <xf numFmtId="0" fontId="0" fillId="13" borderId="87" xfId="0" applyFill="1" applyBorder="1" applyAlignment="1" applyProtection="1">
      <alignment horizontal="right"/>
    </xf>
    <xf numFmtId="0" fontId="1" fillId="0" borderId="0" xfId="0" applyFont="1" applyFill="1" applyBorder="1" applyProtection="1"/>
    <xf numFmtId="10" fontId="8" fillId="0" borderId="0" xfId="0" applyNumberFormat="1" applyFont="1" applyFill="1" applyBorder="1" applyProtection="1"/>
    <xf numFmtId="0" fontId="8" fillId="11" borderId="0" xfId="0" applyFont="1" applyFill="1" applyProtection="1"/>
    <xf numFmtId="0" fontId="8" fillId="0" borderId="0" xfId="0" applyFont="1" applyFill="1" applyBorder="1" applyProtection="1"/>
    <xf numFmtId="0" fontId="1" fillId="6" borderId="2" xfId="0" applyFont="1" applyFill="1" applyBorder="1" applyProtection="1"/>
    <xf numFmtId="0" fontId="0" fillId="6" borderId="2" xfId="0" applyFill="1" applyBorder="1" applyProtection="1"/>
    <xf numFmtId="0" fontId="1" fillId="6" borderId="3" xfId="0" applyFont="1" applyFill="1" applyBorder="1" applyProtection="1"/>
    <xf numFmtId="0" fontId="0" fillId="6" borderId="4" xfId="0" applyFill="1" applyBorder="1" applyProtection="1"/>
    <xf numFmtId="0" fontId="31" fillId="2" borderId="1" xfId="0" applyFont="1" applyFill="1" applyBorder="1" applyAlignment="1" applyProtection="1">
      <alignment wrapText="1"/>
    </xf>
    <xf numFmtId="0" fontId="31" fillId="2" borderId="1" xfId="0" applyFont="1" applyFill="1" applyBorder="1" applyProtection="1"/>
    <xf numFmtId="0" fontId="31" fillId="2" borderId="2" xfId="0" applyFont="1" applyFill="1" applyBorder="1" applyAlignment="1" applyProtection="1">
      <alignment wrapText="1"/>
    </xf>
    <xf numFmtId="164" fontId="3" fillId="2" borderId="1" xfId="0" applyNumberFormat="1" applyFont="1" applyFill="1" applyBorder="1" applyAlignment="1" applyProtection="1">
      <alignment horizontal="right" wrapText="1"/>
    </xf>
    <xf numFmtId="0" fontId="33" fillId="0" borderId="81" xfId="0" applyFont="1" applyFill="1" applyBorder="1" applyAlignment="1" applyProtection="1">
      <alignment horizontal="left"/>
    </xf>
    <xf numFmtId="0" fontId="1" fillId="0" borderId="80" xfId="0" applyFont="1" applyBorder="1" applyProtection="1"/>
    <xf numFmtId="0" fontId="1" fillId="6" borderId="1" xfId="0" applyFont="1" applyFill="1" applyBorder="1" applyProtection="1"/>
    <xf numFmtId="164" fontId="0" fillId="13" borderId="1" xfId="0" applyNumberFormat="1" applyFill="1" applyBorder="1" applyProtection="1"/>
    <xf numFmtId="0" fontId="9" fillId="0" borderId="81" xfId="0" applyFont="1" applyBorder="1" applyProtection="1"/>
    <xf numFmtId="0" fontId="0" fillId="13" borderId="1" xfId="0" applyFill="1" applyBorder="1" applyProtection="1"/>
    <xf numFmtId="0" fontId="9" fillId="0" borderId="81" xfId="0" applyFont="1" applyBorder="1" applyAlignment="1" applyProtection="1">
      <alignment horizontal="left"/>
    </xf>
    <xf numFmtId="0" fontId="0" fillId="0" borderId="81" xfId="0" applyBorder="1" applyAlignment="1" applyProtection="1">
      <alignment horizontal="right"/>
    </xf>
    <xf numFmtId="0" fontId="1" fillId="6" borderId="6" xfId="0" applyFont="1" applyFill="1" applyBorder="1" applyProtection="1"/>
    <xf numFmtId="0" fontId="1" fillId="6" borderId="5" xfId="0" applyFont="1" applyFill="1" applyBorder="1" applyProtection="1"/>
    <xf numFmtId="0" fontId="1" fillId="13" borderId="5" xfId="0" applyFont="1" applyFill="1" applyBorder="1" applyProtection="1"/>
    <xf numFmtId="0" fontId="9" fillId="0" borderId="7" xfId="0" applyFont="1" applyFill="1" applyBorder="1" applyProtection="1"/>
    <xf numFmtId="0" fontId="8" fillId="0" borderId="92" xfId="0" applyFont="1" applyFill="1" applyBorder="1" applyProtection="1"/>
    <xf numFmtId="0" fontId="0" fillId="0" borderId="82" xfId="0" applyBorder="1" applyProtection="1"/>
    <xf numFmtId="0" fontId="0" fillId="0" borderId="83" xfId="0" applyBorder="1" applyProtection="1"/>
    <xf numFmtId="164" fontId="0" fillId="0" borderId="83" xfId="0" applyNumberFormat="1" applyFill="1" applyBorder="1" applyProtection="1"/>
    <xf numFmtId="0" fontId="0" fillId="0" borderId="84" xfId="0" applyBorder="1" applyProtection="1"/>
    <xf numFmtId="0" fontId="1" fillId="6" borderId="66" xfId="0" applyFont="1" applyFill="1" applyBorder="1" applyProtection="1"/>
    <xf numFmtId="0" fontId="0" fillId="6" borderId="60" xfId="0" applyFill="1" applyBorder="1" applyProtection="1"/>
    <xf numFmtId="0" fontId="1" fillId="2" borderId="51" xfId="0" applyFont="1" applyFill="1" applyBorder="1" applyProtection="1"/>
    <xf numFmtId="0" fontId="0" fillId="2" borderId="52" xfId="0" applyFill="1" applyBorder="1" applyProtection="1"/>
    <xf numFmtId="0" fontId="8" fillId="2" borderId="52" xfId="0" applyFont="1" applyFill="1" applyBorder="1" applyProtection="1"/>
    <xf numFmtId="0" fontId="0" fillId="2" borderId="53" xfId="0" applyFill="1" applyBorder="1" applyProtection="1"/>
    <xf numFmtId="0" fontId="1" fillId="0" borderId="0" xfId="0" applyFont="1" applyFill="1" applyProtection="1"/>
    <xf numFmtId="0" fontId="1" fillId="2" borderId="22" xfId="0" applyFont="1" applyFill="1" applyBorder="1" applyProtection="1"/>
    <xf numFmtId="0" fontId="0" fillId="2" borderId="40" xfId="0" applyFill="1" applyBorder="1" applyProtection="1"/>
    <xf numFmtId="0" fontId="0" fillId="6" borderId="40" xfId="0" applyFill="1" applyBorder="1" applyProtection="1"/>
    <xf numFmtId="0" fontId="0" fillId="6" borderId="19" xfId="0" applyFill="1" applyBorder="1" applyProtection="1"/>
    <xf numFmtId="0" fontId="1" fillId="6" borderId="67" xfId="0" applyFont="1" applyFill="1" applyBorder="1" applyProtection="1"/>
    <xf numFmtId="0" fontId="8" fillId="13" borderId="3" xfId="0" applyFont="1" applyFill="1" applyBorder="1" applyProtection="1"/>
    <xf numFmtId="0" fontId="0" fillId="13" borderId="55" xfId="0" applyFill="1" applyBorder="1" applyProtection="1"/>
    <xf numFmtId="0" fontId="1" fillId="6" borderId="22" xfId="0" applyFont="1" applyFill="1" applyBorder="1" applyProtection="1"/>
    <xf numFmtId="172" fontId="0" fillId="13" borderId="3" xfId="0" applyNumberFormat="1" applyFill="1" applyBorder="1" applyProtection="1"/>
    <xf numFmtId="0" fontId="8" fillId="13" borderId="55" xfId="0" applyFont="1" applyFill="1" applyBorder="1" applyProtection="1"/>
    <xf numFmtId="0" fontId="0" fillId="6" borderId="31" xfId="0" applyFill="1" applyBorder="1" applyProtection="1"/>
    <xf numFmtId="0" fontId="0" fillId="13" borderId="0" xfId="0" applyFill="1" applyBorder="1" applyProtection="1"/>
    <xf numFmtId="0" fontId="0" fillId="6" borderId="0" xfId="0" applyFill="1" applyBorder="1" applyProtection="1"/>
    <xf numFmtId="0" fontId="0" fillId="13" borderId="17" xfId="0" applyFill="1" applyBorder="1" applyProtection="1"/>
    <xf numFmtId="172" fontId="0" fillId="13" borderId="3" xfId="0" applyNumberFormat="1" applyFill="1" applyBorder="1" applyAlignment="1" applyProtection="1">
      <alignment horizontal="right"/>
    </xf>
    <xf numFmtId="0" fontId="0" fillId="13" borderId="57" xfId="0" applyFill="1" applyBorder="1" applyProtection="1"/>
    <xf numFmtId="0" fontId="8" fillId="13" borderId="57" xfId="0" applyFont="1" applyFill="1" applyBorder="1" applyProtection="1"/>
    <xf numFmtId="0" fontId="0" fillId="13" borderId="58" xfId="0" applyFill="1" applyBorder="1" applyProtection="1"/>
    <xf numFmtId="0" fontId="8" fillId="0" borderId="0" xfId="0" applyFont="1" applyFill="1" applyProtection="1"/>
    <xf numFmtId="0" fontId="0" fillId="2" borderId="19" xfId="0" applyFill="1" applyBorder="1" applyProtection="1"/>
    <xf numFmtId="0" fontId="1" fillId="2" borderId="40" xfId="0" applyFont="1" applyFill="1" applyBorder="1" applyProtection="1"/>
    <xf numFmtId="0" fontId="0" fillId="0" borderId="0" xfId="0" applyFill="1" applyBorder="1" applyAlignment="1" applyProtection="1">
      <alignment vertical="center"/>
    </xf>
    <xf numFmtId="0" fontId="1" fillId="6" borderId="31" xfId="0" applyFont="1" applyFill="1" applyBorder="1" applyAlignment="1" applyProtection="1">
      <alignment wrapText="1"/>
    </xf>
    <xf numFmtId="167" fontId="0" fillId="13" borderId="17" xfId="0" applyNumberFormat="1" applyFill="1" applyBorder="1" applyAlignment="1" applyProtection="1">
      <alignment vertical="center"/>
    </xf>
    <xf numFmtId="0" fontId="1" fillId="6" borderId="31" xfId="0" applyFont="1" applyFill="1" applyBorder="1" applyProtection="1"/>
    <xf numFmtId="0" fontId="0" fillId="2" borderId="40" xfId="0" applyFill="1" applyBorder="1" applyAlignment="1" applyProtection="1">
      <alignment vertical="center"/>
    </xf>
    <xf numFmtId="0" fontId="1" fillId="6" borderId="40" xfId="0" applyFont="1" applyFill="1" applyBorder="1" applyProtection="1"/>
    <xf numFmtId="3" fontId="0" fillId="2" borderId="19" xfId="0" applyNumberFormat="1" applyFill="1" applyBorder="1" applyAlignment="1" applyProtection="1">
      <alignment vertical="center"/>
    </xf>
    <xf numFmtId="0" fontId="32" fillId="6" borderId="31" xfId="0" applyFont="1" applyFill="1" applyBorder="1" applyProtection="1"/>
    <xf numFmtId="0" fontId="32" fillId="13" borderId="17" xfId="0" applyFont="1" applyFill="1" applyBorder="1" applyAlignment="1" applyProtection="1">
      <alignment vertical="center"/>
    </xf>
    <xf numFmtId="3" fontId="0" fillId="13" borderId="17" xfId="0" applyNumberFormat="1" applyFill="1" applyBorder="1" applyAlignment="1" applyProtection="1">
      <alignment vertical="center"/>
    </xf>
    <xf numFmtId="0" fontId="32" fillId="6" borderId="54" xfId="0" applyFont="1" applyFill="1" applyBorder="1" applyProtection="1"/>
    <xf numFmtId="0" fontId="32" fillId="13" borderId="3" xfId="0" applyNumberFormat="1" applyFont="1" applyFill="1" applyBorder="1" applyAlignment="1" applyProtection="1">
      <alignment vertical="center"/>
    </xf>
    <xf numFmtId="0" fontId="32" fillId="13" borderId="3" xfId="0" applyFont="1" applyFill="1" applyBorder="1" applyProtection="1"/>
    <xf numFmtId="3" fontId="32" fillId="13" borderId="55" xfId="0" applyNumberFormat="1" applyFont="1" applyFill="1" applyBorder="1" applyAlignment="1" applyProtection="1">
      <alignment vertical="center"/>
    </xf>
    <xf numFmtId="9" fontId="8" fillId="0" borderId="0" xfId="0" applyNumberFormat="1" applyFont="1" applyProtection="1"/>
    <xf numFmtId="0" fontId="32" fillId="13" borderId="3" xfId="0" applyFont="1" applyFill="1" applyBorder="1" applyAlignment="1" applyProtection="1">
      <alignment vertical="center"/>
    </xf>
    <xf numFmtId="0" fontId="1" fillId="6" borderId="73" xfId="0" applyFont="1" applyFill="1" applyBorder="1" applyProtection="1"/>
    <xf numFmtId="0" fontId="0" fillId="6" borderId="72" xfId="0" applyFill="1" applyBorder="1" applyAlignment="1" applyProtection="1">
      <alignment vertical="center"/>
    </xf>
    <xf numFmtId="0" fontId="0" fillId="6" borderId="71" xfId="0" applyFill="1" applyBorder="1" applyProtection="1"/>
    <xf numFmtId="3" fontId="1" fillId="13" borderId="72" xfId="0" applyNumberFormat="1" applyFont="1" applyFill="1" applyBorder="1" applyAlignment="1" applyProtection="1">
      <alignment vertical="center"/>
    </xf>
    <xf numFmtId="0" fontId="1" fillId="6" borderId="32" xfId="0" applyFont="1" applyFill="1" applyBorder="1" applyProtection="1"/>
    <xf numFmtId="3" fontId="0" fillId="13" borderId="16" xfId="0" applyNumberFormat="1" applyFill="1" applyBorder="1" applyAlignment="1" applyProtection="1">
      <alignment vertical="center"/>
    </xf>
    <xf numFmtId="0" fontId="0" fillId="6" borderId="33" xfId="0" applyFill="1" applyBorder="1" applyProtection="1"/>
    <xf numFmtId="3" fontId="1" fillId="13" borderId="16" xfId="0" applyNumberFormat="1" applyFont="1" applyFill="1" applyBorder="1" applyAlignment="1" applyProtection="1">
      <alignment vertical="center"/>
    </xf>
    <xf numFmtId="0" fontId="0" fillId="14" borderId="41" xfId="0" applyFill="1" applyBorder="1" applyProtection="1">
      <protection locked="0"/>
    </xf>
    <xf numFmtId="0" fontId="0" fillId="14" borderId="0" xfId="0" applyFill="1" applyBorder="1" applyProtection="1">
      <protection locked="0"/>
    </xf>
    <xf numFmtId="0" fontId="0" fillId="14" borderId="75" xfId="0" applyFill="1" applyBorder="1" applyProtection="1">
      <protection locked="0"/>
    </xf>
    <xf numFmtId="0" fontId="7" fillId="14" borderId="0" xfId="0" applyFont="1" applyFill="1" applyBorder="1" applyProtection="1">
      <protection locked="0"/>
    </xf>
    <xf numFmtId="0" fontId="7" fillId="14" borderId="75" xfId="0" applyFont="1" applyFill="1" applyBorder="1" applyProtection="1">
      <protection locked="0"/>
    </xf>
    <xf numFmtId="0" fontId="8" fillId="14" borderId="0" xfId="0" applyFont="1" applyFill="1" applyBorder="1" applyProtection="1">
      <protection locked="0"/>
    </xf>
    <xf numFmtId="0" fontId="0" fillId="14" borderId="11" xfId="0" applyFill="1" applyBorder="1" applyProtection="1">
      <protection locked="0"/>
    </xf>
    <xf numFmtId="0" fontId="0" fillId="14" borderId="12" xfId="0" applyFill="1" applyBorder="1" applyProtection="1">
      <protection locked="0"/>
    </xf>
    <xf numFmtId="0" fontId="0" fillId="14" borderId="13" xfId="0" applyFill="1" applyBorder="1" applyProtection="1">
      <protection locked="0"/>
    </xf>
    <xf numFmtId="0" fontId="0" fillId="14" borderId="1" xfId="0" applyFill="1" applyBorder="1" applyProtection="1">
      <protection locked="0"/>
    </xf>
    <xf numFmtId="0" fontId="0" fillId="14" borderId="6" xfId="0" applyFill="1" applyBorder="1" applyProtection="1">
      <protection locked="0"/>
    </xf>
    <xf numFmtId="0" fontId="0" fillId="14" borderId="2" xfId="0" applyFill="1" applyBorder="1" applyProtection="1">
      <protection locked="0"/>
    </xf>
    <xf numFmtId="0" fontId="1" fillId="14" borderId="0" xfId="0" applyFont="1" applyFill="1"/>
    <xf numFmtId="0" fontId="0" fillId="14" borderId="0" xfId="0" applyFill="1"/>
    <xf numFmtId="169" fontId="0" fillId="13" borderId="1" xfId="0" applyNumberFormat="1" applyFill="1" applyBorder="1"/>
    <xf numFmtId="169" fontId="0" fillId="13" borderId="6" xfId="0" applyNumberFormat="1" applyFill="1" applyBorder="1"/>
    <xf numFmtId="168" fontId="0" fillId="13" borderId="1" xfId="0" applyNumberFormat="1" applyFill="1" applyBorder="1"/>
    <xf numFmtId="168" fontId="0" fillId="13" borderId="6" xfId="0" applyNumberFormat="1" applyFill="1" applyBorder="1"/>
    <xf numFmtId="0" fontId="1" fillId="6" borderId="48" xfId="0" applyFont="1" applyFill="1" applyBorder="1" applyAlignment="1" applyProtection="1">
      <alignment horizontal="center" vertical="center"/>
    </xf>
    <xf numFmtId="0" fontId="0" fillId="0" borderId="49" xfId="0" applyBorder="1" applyAlignment="1" applyProtection="1">
      <alignment horizontal="center" vertical="center"/>
    </xf>
    <xf numFmtId="0" fontId="1" fillId="6" borderId="50" xfId="0" applyFont="1" applyFill="1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1" fillId="6" borderId="50" xfId="0" applyFont="1" applyFill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0" fontId="1" fillId="6" borderId="49" xfId="0" applyFont="1" applyFill="1" applyBorder="1" applyAlignment="1" applyProtection="1">
      <alignment horizontal="center" vertical="center"/>
    </xf>
    <xf numFmtId="0" fontId="1" fillId="6" borderId="42" xfId="0" applyFont="1" applyFill="1" applyBorder="1" applyAlignment="1" applyProtection="1">
      <alignment horizontal="center" vertical="center"/>
    </xf>
    <xf numFmtId="0" fontId="1" fillId="6" borderId="42" xfId="0" applyFont="1" applyFill="1" applyBorder="1" applyAlignment="1" applyProtection="1">
      <alignment horizontal="center" vertical="center" wrapText="1"/>
    </xf>
    <xf numFmtId="0" fontId="0" fillId="13" borderId="1" xfId="0" applyFill="1" applyBorder="1" applyAlignment="1" applyProtection="1">
      <alignment horizontal="right"/>
    </xf>
    <xf numFmtId="0" fontId="0" fillId="13" borderId="27" xfId="0" applyFill="1" applyBorder="1" applyAlignment="1" applyProtection="1">
      <alignment horizontal="right"/>
    </xf>
    <xf numFmtId="2" fontId="0" fillId="13" borderId="1" xfId="0" applyNumberFormat="1" applyFill="1" applyBorder="1" applyAlignment="1" applyProtection="1">
      <alignment horizontal="right"/>
    </xf>
    <xf numFmtId="2" fontId="1" fillId="13" borderId="39" xfId="0" applyNumberFormat="1" applyFont="1" applyFill="1" applyBorder="1" applyAlignment="1" applyProtection="1"/>
    <xf numFmtId="0" fontId="0" fillId="13" borderId="39" xfId="0" applyFill="1" applyBorder="1" applyAlignment="1" applyProtection="1"/>
    <xf numFmtId="0" fontId="0" fillId="13" borderId="29" xfId="0" applyFill="1" applyBorder="1" applyAlignment="1" applyProtection="1"/>
    <xf numFmtId="0" fontId="1" fillId="13" borderId="1" xfId="0" applyFont="1" applyFill="1" applyBorder="1" applyAlignment="1" applyProtection="1">
      <alignment horizontal="right"/>
    </xf>
    <xf numFmtId="0" fontId="0" fillId="13" borderId="38" xfId="0" applyNumberFormat="1" applyFill="1" applyBorder="1" applyAlignment="1" applyProtection="1">
      <alignment horizontal="right"/>
    </xf>
    <xf numFmtId="0" fontId="0" fillId="13" borderId="25" xfId="0" applyNumberFormat="1" applyFill="1" applyBorder="1" applyAlignment="1" applyProtection="1">
      <alignment horizontal="right"/>
    </xf>
    <xf numFmtId="0" fontId="0" fillId="14" borderId="2" xfId="0" applyFill="1" applyBorder="1" applyAlignment="1" applyProtection="1">
      <alignment horizontal="right"/>
      <protection locked="0"/>
    </xf>
    <xf numFmtId="0" fontId="0" fillId="14" borderId="3" xfId="0" applyFill="1" applyBorder="1" applyAlignment="1" applyProtection="1">
      <alignment horizontal="right"/>
      <protection locked="0"/>
    </xf>
    <xf numFmtId="0" fontId="0" fillId="14" borderId="55" xfId="0" applyFill="1" applyBorder="1" applyAlignment="1" applyProtection="1">
      <alignment horizontal="right"/>
      <protection locked="0"/>
    </xf>
    <xf numFmtId="0" fontId="0" fillId="14" borderId="1" xfId="0" applyFill="1" applyBorder="1" applyAlignment="1" applyProtection="1">
      <alignment horizontal="right"/>
      <protection locked="0"/>
    </xf>
    <xf numFmtId="0" fontId="0" fillId="14" borderId="27" xfId="0" applyFill="1" applyBorder="1" applyAlignment="1" applyProtection="1">
      <alignment horizontal="right"/>
      <protection locked="0"/>
    </xf>
    <xf numFmtId="0" fontId="1" fillId="6" borderId="6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6" borderId="42" xfId="0" applyFill="1" applyBorder="1" applyAlignment="1">
      <alignment horizontal="center" vertical="center"/>
    </xf>
    <xf numFmtId="0" fontId="0" fillId="6" borderId="42" xfId="0" applyFill="1" applyBorder="1" applyAlignment="1">
      <alignment horizontal="center" vertical="center" wrapText="1"/>
    </xf>
    <xf numFmtId="0" fontId="0" fillId="13" borderId="1" xfId="0" applyFill="1" applyBorder="1" applyAlignment="1">
      <alignment horizontal="right"/>
    </xf>
    <xf numFmtId="0" fontId="0" fillId="13" borderId="27" xfId="0" applyFill="1" applyBorder="1" applyAlignment="1">
      <alignment horizontal="right"/>
    </xf>
    <xf numFmtId="2" fontId="0" fillId="13" borderId="1" xfId="0" applyNumberFormat="1" applyFill="1" applyBorder="1" applyAlignment="1">
      <alignment horizontal="right"/>
    </xf>
    <xf numFmtId="2" fontId="1" fillId="13" borderId="39" xfId="0" applyNumberFormat="1" applyFont="1" applyFill="1" applyBorder="1" applyAlignment="1"/>
    <xf numFmtId="0" fontId="0" fillId="13" borderId="39" xfId="0" applyFill="1" applyBorder="1" applyAlignment="1"/>
    <xf numFmtId="0" fontId="0" fillId="13" borderId="29" xfId="0" applyFill="1" applyBorder="1" applyAlignment="1"/>
    <xf numFmtId="0" fontId="0" fillId="13" borderId="38" xfId="0" applyNumberFormat="1" applyFill="1" applyBorder="1" applyAlignment="1">
      <alignment horizontal="right"/>
    </xf>
    <xf numFmtId="0" fontId="0" fillId="13" borderId="25" xfId="0" applyNumberFormat="1" applyFill="1" applyBorder="1" applyAlignment="1">
      <alignment horizontal="right"/>
    </xf>
    <xf numFmtId="0" fontId="1" fillId="14" borderId="8" xfId="0" applyFont="1" applyFill="1" applyBorder="1" applyAlignment="1" applyProtection="1">
      <alignment vertical="top" wrapText="1"/>
      <protection locked="0"/>
    </xf>
    <xf numFmtId="0" fontId="0" fillId="14" borderId="9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41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75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1" xfId="0" applyBorder="1" applyAlignment="1" applyProtection="1">
      <protection locked="0"/>
    </xf>
    <xf numFmtId="0" fontId="0" fillId="0" borderId="0" xfId="0" applyFill="1" applyBorder="1" applyAlignment="1" applyProtection="1">
      <alignment vertical="center"/>
    </xf>
    <xf numFmtId="164" fontId="12" fillId="13" borderId="45" xfId="0" applyNumberFormat="1" applyFont="1" applyFill="1" applyBorder="1" applyAlignment="1" applyProtection="1">
      <alignment horizontal="right" vertical="center"/>
    </xf>
    <xf numFmtId="0" fontId="0" fillId="0" borderId="43" xfId="0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1" fillId="6" borderId="62" xfId="0" applyFont="1" applyFill="1" applyBorder="1" applyAlignment="1" applyProtection="1">
      <alignment wrapText="1"/>
    </xf>
    <xf numFmtId="0" fontId="0" fillId="6" borderId="65" xfId="0" applyFill="1" applyBorder="1" applyAlignment="1" applyProtection="1">
      <alignment wrapText="1"/>
    </xf>
    <xf numFmtId="0" fontId="11" fillId="13" borderId="2" xfId="0" applyFont="1" applyFill="1" applyBorder="1" applyAlignment="1" applyProtection="1">
      <alignment horizontal="right"/>
    </xf>
    <xf numFmtId="0" fontId="0" fillId="13" borderId="61" xfId="0" applyFill="1" applyBorder="1" applyAlignment="1" applyProtection="1"/>
    <xf numFmtId="0" fontId="0" fillId="13" borderId="2" xfId="0" applyFill="1" applyBorder="1" applyAlignment="1" applyProtection="1"/>
    <xf numFmtId="3" fontId="0" fillId="13" borderId="2" xfId="0" applyNumberFormat="1" applyFill="1" applyBorder="1" applyAlignment="1" applyProtection="1"/>
    <xf numFmtId="3" fontId="0" fillId="13" borderId="61" xfId="0" applyNumberFormat="1" applyFill="1" applyBorder="1" applyAlignment="1" applyProtection="1"/>
    <xf numFmtId="3" fontId="8" fillId="13" borderId="2" xfId="0" applyNumberFormat="1" applyFont="1" applyFill="1" applyBorder="1" applyAlignment="1" applyProtection="1"/>
    <xf numFmtId="164" fontId="8" fillId="13" borderId="2" xfId="0" applyNumberFormat="1" applyFont="1" applyFill="1" applyBorder="1" applyAlignment="1" applyProtection="1"/>
    <xf numFmtId="164" fontId="0" fillId="13" borderId="61" xfId="0" applyNumberFormat="1" applyFill="1" applyBorder="1" applyAlignment="1" applyProtection="1"/>
    <xf numFmtId="167" fontId="8" fillId="13" borderId="69" xfId="0" applyNumberFormat="1" applyFont="1" applyFill="1" applyBorder="1" applyAlignment="1" applyProtection="1"/>
    <xf numFmtId="167" fontId="0" fillId="13" borderId="64" xfId="0" applyNumberFormat="1" applyFill="1" applyBorder="1" applyAlignment="1" applyProtection="1"/>
    <xf numFmtId="0" fontId="0" fillId="14" borderId="61" xfId="0" applyFill="1" applyBorder="1" applyAlignment="1" applyProtection="1">
      <alignment horizontal="right"/>
      <protection locked="0"/>
    </xf>
    <xf numFmtId="0" fontId="0" fillId="13" borderId="3" xfId="0" applyFill="1" applyBorder="1" applyAlignment="1" applyProtection="1"/>
    <xf numFmtId="2" fontId="0" fillId="15" borderId="2" xfId="0" applyNumberFormat="1" applyFill="1" applyBorder="1" applyAlignment="1" applyProtection="1"/>
    <xf numFmtId="0" fontId="0" fillId="15" borderId="3" xfId="0" applyFill="1" applyBorder="1" applyAlignment="1" applyProtection="1"/>
    <xf numFmtId="0" fontId="0" fillId="15" borderId="61" xfId="0" applyFill="1" applyBorder="1" applyAlignment="1" applyProtection="1"/>
    <xf numFmtId="0" fontId="1" fillId="2" borderId="54" xfId="0" applyFont="1" applyFill="1" applyBorder="1" applyAlignment="1" applyProtection="1"/>
    <xf numFmtId="0" fontId="0" fillId="0" borderId="4" xfId="0" applyBorder="1" applyAlignment="1" applyProtection="1"/>
    <xf numFmtId="0" fontId="0" fillId="15" borderId="2" xfId="0" applyFill="1" applyBorder="1" applyAlignment="1" applyProtection="1">
      <alignment horizontal="right"/>
    </xf>
    <xf numFmtId="0" fontId="0" fillId="15" borderId="3" xfId="0" applyFill="1" applyBorder="1" applyAlignment="1" applyProtection="1">
      <alignment horizontal="right"/>
    </xf>
    <xf numFmtId="0" fontId="0" fillId="15" borderId="61" xfId="0" applyFill="1" applyBorder="1" applyAlignment="1" applyProtection="1">
      <alignment horizontal="right"/>
    </xf>
    <xf numFmtId="0" fontId="1" fillId="6" borderId="20" xfId="0" applyFont="1" applyFill="1" applyBorder="1" applyAlignment="1" applyProtection="1">
      <alignment horizontal="left" vertical="center" wrapText="1"/>
    </xf>
    <xf numFmtId="0" fontId="0" fillId="0" borderId="30" xfId="0" applyBorder="1" applyAlignment="1" applyProtection="1">
      <alignment horizontal="left" vertical="center" wrapText="1"/>
    </xf>
    <xf numFmtId="0" fontId="0" fillId="0" borderId="32" xfId="0" applyBorder="1" applyAlignment="1" applyProtection="1">
      <alignment horizontal="left" vertical="center" wrapText="1"/>
    </xf>
    <xf numFmtId="0" fontId="0" fillId="0" borderId="33" xfId="0" applyBorder="1" applyAlignment="1" applyProtection="1">
      <alignment horizontal="left" vertical="center" wrapText="1"/>
    </xf>
    <xf numFmtId="3" fontId="0" fillId="13" borderId="21" xfId="0" applyNumberFormat="1" applyFill="1" applyBorder="1" applyAlignment="1" applyProtection="1">
      <alignment vertical="center"/>
    </xf>
    <xf numFmtId="3" fontId="0" fillId="0" borderId="16" xfId="0" applyNumberFormat="1" applyBorder="1" applyAlignment="1" applyProtection="1"/>
    <xf numFmtId="0" fontId="0" fillId="6" borderId="26" xfId="0" applyFill="1" applyBorder="1" applyAlignment="1" applyProtection="1">
      <alignment horizontal="left" vertical="center" wrapText="1"/>
    </xf>
    <xf numFmtId="0" fontId="0" fillId="6" borderId="1" xfId="0" applyFill="1" applyBorder="1" applyAlignment="1" applyProtection="1">
      <alignment horizontal="left" vertical="center" wrapText="1"/>
    </xf>
    <xf numFmtId="0" fontId="0" fillId="0" borderId="9" xfId="0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1" fillId="6" borderId="24" xfId="0" applyFont="1" applyFill="1" applyBorder="1" applyAlignment="1" applyProtection="1">
      <alignment horizontal="left" vertical="center" wrapText="1"/>
    </xf>
    <xf numFmtId="0" fontId="0" fillId="0" borderId="38" xfId="0" applyBorder="1" applyAlignment="1" applyProtection="1">
      <alignment horizontal="left" vertical="center" wrapText="1"/>
    </xf>
    <xf numFmtId="0" fontId="0" fillId="0" borderId="25" xfId="0" applyBorder="1" applyAlignment="1" applyProtection="1">
      <alignment horizontal="left" vertical="center" wrapText="1"/>
    </xf>
    <xf numFmtId="0" fontId="0" fillId="6" borderId="26" xfId="0" applyFill="1" applyBorder="1" applyAlignment="1" applyProtection="1">
      <alignment vertical="center" wrapText="1"/>
    </xf>
    <xf numFmtId="0" fontId="0" fillId="6" borderId="1" xfId="0" applyFill="1" applyBorder="1" applyAlignment="1" applyProtection="1">
      <alignment vertical="center" wrapText="1"/>
    </xf>
    <xf numFmtId="1" fontId="12" fillId="13" borderId="27" xfId="0" applyNumberFormat="1" applyFont="1" applyFill="1" applyBorder="1" applyAlignment="1" applyProtection="1">
      <alignment horizontal="right" vertical="center"/>
    </xf>
    <xf numFmtId="0" fontId="0" fillId="13" borderId="27" xfId="0" applyFill="1" applyBorder="1" applyAlignment="1" applyProtection="1">
      <alignment vertical="center"/>
    </xf>
    <xf numFmtId="0" fontId="0" fillId="13" borderId="68" xfId="0" applyFill="1" applyBorder="1" applyAlignment="1" applyProtection="1">
      <alignment horizontal="right"/>
    </xf>
    <xf numFmtId="0" fontId="0" fillId="13" borderId="59" xfId="0" applyFill="1" applyBorder="1" applyAlignment="1" applyProtection="1">
      <alignment horizontal="right"/>
    </xf>
    <xf numFmtId="0" fontId="0" fillId="13" borderId="60" xfId="0" applyFill="1" applyBorder="1" applyAlignment="1" applyProtection="1">
      <alignment horizontal="right"/>
    </xf>
    <xf numFmtId="0" fontId="0" fillId="13" borderId="2" xfId="0" applyFill="1" applyBorder="1" applyAlignment="1" applyProtection="1">
      <alignment horizontal="right"/>
    </xf>
    <xf numFmtId="0" fontId="0" fillId="13" borderId="3" xfId="0" applyFill="1" applyBorder="1" applyAlignment="1" applyProtection="1">
      <alignment horizontal="right"/>
    </xf>
    <xf numFmtId="0" fontId="0" fillId="13" borderId="61" xfId="0" applyFill="1" applyBorder="1" applyAlignment="1" applyProtection="1">
      <alignment horizontal="right"/>
    </xf>
    <xf numFmtId="2" fontId="0" fillId="15" borderId="69" xfId="0" applyNumberFormat="1" applyFill="1" applyBorder="1" applyAlignment="1" applyProtection="1"/>
    <xf numFmtId="0" fontId="0" fillId="15" borderId="63" xfId="0" applyFill="1" applyBorder="1" applyAlignment="1" applyProtection="1"/>
    <xf numFmtId="0" fontId="0" fillId="15" borderId="64" xfId="0" applyFill="1" applyBorder="1" applyAlignment="1" applyProtection="1"/>
    <xf numFmtId="0" fontId="1" fillId="6" borderId="62" xfId="0" applyFont="1" applyFill="1" applyBorder="1" applyAlignment="1">
      <alignment wrapText="1"/>
    </xf>
    <xf numFmtId="0" fontId="0" fillId="6" borderId="65" xfId="0" applyFill="1" applyBorder="1" applyAlignment="1">
      <alignment wrapText="1"/>
    </xf>
    <xf numFmtId="167" fontId="8" fillId="13" borderId="69" xfId="0" applyNumberFormat="1" applyFont="1" applyFill="1" applyBorder="1" applyAlignment="1"/>
    <xf numFmtId="167" fontId="0" fillId="13" borderId="64" xfId="0" applyNumberFormat="1" applyFill="1" applyBorder="1" applyAlignment="1"/>
    <xf numFmtId="0" fontId="0" fillId="0" borderId="0" xfId="0" applyFill="1" applyBorder="1" applyAlignment="1">
      <alignment vertical="center"/>
    </xf>
    <xf numFmtId="0" fontId="1" fillId="6" borderId="20" xfId="0" applyFont="1" applyFill="1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3" fontId="0" fillId="13" borderId="21" xfId="0" applyNumberFormat="1" applyFill="1" applyBorder="1" applyAlignment="1">
      <alignment vertical="center"/>
    </xf>
    <xf numFmtId="3" fontId="0" fillId="0" borderId="16" xfId="0" applyNumberFormat="1" applyBorder="1" applyAlignment="1"/>
    <xf numFmtId="3" fontId="0" fillId="13" borderId="2" xfId="0" applyNumberFormat="1" applyFill="1" applyBorder="1" applyAlignment="1"/>
    <xf numFmtId="3" fontId="0" fillId="13" borderId="61" xfId="0" applyNumberFormat="1" applyFill="1" applyBorder="1" applyAlignment="1"/>
    <xf numFmtId="0" fontId="0" fillId="6" borderId="26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 wrapText="1"/>
    </xf>
    <xf numFmtId="164" fontId="12" fillId="13" borderId="45" xfId="0" applyNumberFormat="1" applyFont="1" applyFill="1" applyBorder="1" applyAlignment="1">
      <alignment horizontal="right" vertical="center"/>
    </xf>
    <xf numFmtId="0" fontId="0" fillId="0" borderId="43" xfId="0" applyBorder="1" applyAlignment="1">
      <alignment vertical="center"/>
    </xf>
    <xf numFmtId="3" fontId="8" fillId="13" borderId="2" xfId="0" applyNumberFormat="1" applyFont="1" applyFill="1" applyBorder="1" applyAlignment="1"/>
    <xf numFmtId="164" fontId="8" fillId="13" borderId="2" xfId="0" applyNumberFormat="1" applyFont="1" applyFill="1" applyBorder="1" applyAlignment="1"/>
    <xf numFmtId="164" fontId="0" fillId="13" borderId="61" xfId="0" applyNumberFormat="1" applyFill="1" applyBorder="1" applyAlignment="1"/>
    <xf numFmtId="0" fontId="0" fillId="0" borderId="9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9" xfId="0" applyFill="1" applyBorder="1" applyAlignment="1">
      <alignment vertical="center"/>
    </xf>
    <xf numFmtId="2" fontId="0" fillId="15" borderId="2" xfId="0" applyNumberFormat="1" applyFill="1" applyBorder="1" applyAlignment="1"/>
    <xf numFmtId="0" fontId="0" fillId="15" borderId="3" xfId="0" applyFill="1" applyBorder="1" applyAlignment="1"/>
    <xf numFmtId="0" fontId="0" fillId="15" borderId="61" xfId="0" applyFill="1" applyBorder="1" applyAlignment="1"/>
    <xf numFmtId="2" fontId="0" fillId="15" borderId="69" xfId="0" applyNumberFormat="1" applyFill="1" applyBorder="1" applyAlignment="1"/>
    <xf numFmtId="0" fontId="0" fillId="15" borderId="63" xfId="0" applyFill="1" applyBorder="1" applyAlignment="1"/>
    <xf numFmtId="0" fontId="0" fillId="15" borderId="64" xfId="0" applyFill="1" applyBorder="1" applyAlignment="1"/>
    <xf numFmtId="0" fontId="1" fillId="6" borderId="24" xfId="0" applyFont="1" applyFill="1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11" fillId="13" borderId="2" xfId="0" applyFont="1" applyFill="1" applyBorder="1" applyAlignment="1">
      <alignment horizontal="right"/>
    </xf>
    <xf numFmtId="0" fontId="0" fillId="13" borderId="61" xfId="0" applyFill="1" applyBorder="1" applyAlignment="1"/>
    <xf numFmtId="0" fontId="0" fillId="6" borderId="26" xfId="0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1" fontId="12" fillId="13" borderId="27" xfId="0" applyNumberFormat="1" applyFont="1" applyFill="1" applyBorder="1" applyAlignment="1">
      <alignment horizontal="right" vertical="center"/>
    </xf>
    <xf numFmtId="0" fontId="0" fillId="13" borderId="27" xfId="0" applyFill="1" applyBorder="1" applyAlignment="1">
      <alignment vertical="center"/>
    </xf>
    <xf numFmtId="0" fontId="0" fillId="13" borderId="2" xfId="0" applyFill="1" applyBorder="1" applyAlignment="1"/>
    <xf numFmtId="0" fontId="0" fillId="13" borderId="3" xfId="0" applyFill="1" applyBorder="1" applyAlignment="1"/>
    <xf numFmtId="0" fontId="0" fillId="13" borderId="68" xfId="0" applyFill="1" applyBorder="1" applyAlignment="1">
      <alignment horizontal="right"/>
    </xf>
    <xf numFmtId="0" fontId="0" fillId="13" borderId="59" xfId="0" applyFill="1" applyBorder="1" applyAlignment="1">
      <alignment horizontal="right"/>
    </xf>
    <xf numFmtId="0" fontId="0" fillId="13" borderId="60" xfId="0" applyFill="1" applyBorder="1" applyAlignment="1">
      <alignment horizontal="right"/>
    </xf>
    <xf numFmtId="0" fontId="1" fillId="14" borderId="8" xfId="0" applyFont="1" applyFill="1" applyBorder="1" applyAlignment="1">
      <alignment vertical="top" wrapText="1"/>
    </xf>
    <xf numFmtId="0" fontId="0" fillId="14" borderId="9" xfId="0" applyFill="1" applyBorder="1" applyAlignment="1">
      <alignment wrapText="1"/>
    </xf>
    <xf numFmtId="0" fontId="0" fillId="0" borderId="9" xfId="0" applyBorder="1" applyAlignment="1"/>
    <xf numFmtId="0" fontId="0" fillId="0" borderId="10" xfId="0" applyBorder="1" applyAlignment="1"/>
    <xf numFmtId="0" fontId="0" fillId="0" borderId="41" xfId="0" applyBorder="1" applyAlignment="1"/>
    <xf numFmtId="0" fontId="0" fillId="0" borderId="0" xfId="0" applyAlignment="1"/>
    <xf numFmtId="0" fontId="0" fillId="0" borderId="75" xfId="0" applyBorder="1" applyAlignment="1"/>
    <xf numFmtId="0" fontId="1" fillId="2" borderId="54" xfId="0" applyFont="1" applyFill="1" applyBorder="1" applyAlignment="1"/>
    <xf numFmtId="0" fontId="0" fillId="0" borderId="4" xfId="0" applyBorder="1" applyAlignment="1"/>
    <xf numFmtId="0" fontId="0" fillId="15" borderId="2" xfId="0" applyFill="1" applyBorder="1" applyAlignment="1">
      <alignment horizontal="right"/>
    </xf>
    <xf numFmtId="0" fontId="0" fillId="15" borderId="3" xfId="0" applyFill="1" applyBorder="1" applyAlignment="1">
      <alignment horizontal="right"/>
    </xf>
    <xf numFmtId="0" fontId="0" fillId="15" borderId="61" xfId="0" applyFill="1" applyBorder="1" applyAlignment="1">
      <alignment horizontal="right"/>
    </xf>
    <xf numFmtId="0" fontId="0" fillId="13" borderId="2" xfId="0" applyFill="1" applyBorder="1" applyAlignment="1">
      <alignment horizontal="right"/>
    </xf>
    <xf numFmtId="0" fontId="0" fillId="13" borderId="3" xfId="0" applyFill="1" applyBorder="1" applyAlignment="1">
      <alignment horizontal="right"/>
    </xf>
    <xf numFmtId="0" fontId="0" fillId="13" borderId="61" xfId="0" applyFill="1" applyBorder="1" applyAlignment="1">
      <alignment horizontal="right"/>
    </xf>
    <xf numFmtId="0" fontId="22" fillId="9" borderId="24" xfId="0" applyFont="1" applyFill="1" applyBorder="1" applyAlignment="1">
      <alignment horizontal="center" vertical="top" textRotation="90" wrapText="1"/>
    </xf>
    <xf numFmtId="0" fontId="0" fillId="0" borderId="26" xfId="0" applyBorder="1" applyAlignment="1">
      <alignment horizontal="center" vertical="top" textRotation="90" wrapText="1"/>
    </xf>
    <xf numFmtId="0" fontId="15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4" borderId="20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14" fillId="0" borderId="40" xfId="0" applyFont="1" applyBorder="1" applyAlignment="1">
      <alignment wrapText="1"/>
    </xf>
    <xf numFmtId="0" fontId="15" fillId="0" borderId="33" xfId="0" applyFont="1" applyBorder="1" applyAlignment="1">
      <alignment vertical="center" wrapText="1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FF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B21" sqref="B21"/>
    </sheetView>
  </sheetViews>
  <sheetFormatPr defaultRowHeight="15" x14ac:dyDescent="0.25"/>
  <cols>
    <col min="1" max="1" width="31.7109375" customWidth="1"/>
    <col min="2" max="3" width="102.7109375" customWidth="1"/>
  </cols>
  <sheetData>
    <row r="1" spans="1:4" s="450" customFormat="1" ht="30" customHeight="1" x14ac:dyDescent="0.25">
      <c r="A1" s="449" t="s">
        <v>399</v>
      </c>
      <c r="B1" s="449" t="s">
        <v>400</v>
      </c>
      <c r="C1" s="449" t="s">
        <v>404</v>
      </c>
    </row>
    <row r="2" spans="1:4" s="450" customFormat="1" ht="30" customHeight="1" x14ac:dyDescent="0.25">
      <c r="A2" s="449" t="s">
        <v>428</v>
      </c>
      <c r="B2" s="451" t="s">
        <v>430</v>
      </c>
      <c r="C2" s="451" t="s">
        <v>429</v>
      </c>
    </row>
    <row r="3" spans="1:4" s="450" customFormat="1" ht="30" customHeight="1" x14ac:dyDescent="0.25">
      <c r="A3" s="452" t="s">
        <v>468</v>
      </c>
      <c r="B3" s="453" t="s">
        <v>416</v>
      </c>
      <c r="C3" s="453" t="s">
        <v>405</v>
      </c>
    </row>
    <row r="4" spans="1:4" s="450" customFormat="1" ht="30" customHeight="1" x14ac:dyDescent="0.25">
      <c r="A4" s="452" t="s">
        <v>469</v>
      </c>
      <c r="B4" s="453" t="s">
        <v>401</v>
      </c>
      <c r="C4" s="453" t="s">
        <v>405</v>
      </c>
    </row>
    <row r="5" spans="1:4" s="450" customFormat="1" ht="30" customHeight="1" x14ac:dyDescent="0.25">
      <c r="A5" s="452" t="s">
        <v>470</v>
      </c>
      <c r="B5" s="453" t="s">
        <v>402</v>
      </c>
      <c r="C5" s="453" t="s">
        <v>405</v>
      </c>
    </row>
    <row r="6" spans="1:4" s="450" customFormat="1" ht="30" customHeight="1" x14ac:dyDescent="0.25">
      <c r="A6" s="452" t="s">
        <v>471</v>
      </c>
      <c r="B6" s="453" t="s">
        <v>403</v>
      </c>
      <c r="C6" s="453" t="s">
        <v>406</v>
      </c>
    </row>
    <row r="7" spans="1:4" s="450" customFormat="1" ht="30" customHeight="1" x14ac:dyDescent="0.25">
      <c r="A7" s="452" t="s">
        <v>472</v>
      </c>
      <c r="B7" s="453" t="s">
        <v>403</v>
      </c>
      <c r="C7" s="453" t="s">
        <v>406</v>
      </c>
    </row>
    <row r="8" spans="1:4" s="450" customFormat="1" ht="30" customHeight="1" x14ac:dyDescent="0.25">
      <c r="A8" s="452" t="s">
        <v>407</v>
      </c>
      <c r="B8" s="453" t="s">
        <v>408</v>
      </c>
      <c r="C8" s="453" t="s">
        <v>409</v>
      </c>
    </row>
    <row r="9" spans="1:4" s="450" customFormat="1" ht="30" customHeight="1" x14ac:dyDescent="0.25">
      <c r="A9" s="452" t="s">
        <v>410</v>
      </c>
      <c r="B9" s="453" t="s">
        <v>411</v>
      </c>
      <c r="C9" s="453" t="s">
        <v>412</v>
      </c>
    </row>
    <row r="10" spans="1:4" s="450" customFormat="1" ht="30" customHeight="1" x14ac:dyDescent="0.25">
      <c r="A10" s="452" t="s">
        <v>413</v>
      </c>
      <c r="B10" s="453" t="s">
        <v>414</v>
      </c>
      <c r="C10" s="453" t="s">
        <v>415</v>
      </c>
      <c r="D10" s="454"/>
    </row>
  </sheetData>
  <sheetProtection password="C395" sheet="1" objects="1" scenarios="1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99"/>
  <sheetViews>
    <sheetView topLeftCell="A4" zoomScale="110" zoomScaleNormal="110" workbookViewId="0">
      <selection activeCell="H23" sqref="H23"/>
    </sheetView>
  </sheetViews>
  <sheetFormatPr defaultRowHeight="15" x14ac:dyDescent="0.25"/>
  <cols>
    <col min="2" max="2" width="19.42578125" customWidth="1"/>
    <col min="3" max="3" width="20.7109375" customWidth="1"/>
    <col min="4" max="4" width="3.28515625" customWidth="1"/>
    <col min="5" max="5" width="18.28515625" customWidth="1"/>
    <col min="6" max="6" width="18.42578125" customWidth="1"/>
    <col min="8" max="8" width="17.28515625" customWidth="1"/>
    <col min="9" max="9" width="17" customWidth="1"/>
    <col min="10" max="10" width="3" customWidth="1"/>
    <col min="11" max="11" width="16.140625" customWidth="1"/>
    <col min="12" max="12" width="16.7109375" customWidth="1"/>
    <col min="14" max="14" width="16.140625" customWidth="1"/>
    <col min="15" max="17" width="22.28515625" customWidth="1"/>
    <col min="18" max="18" width="20.140625" customWidth="1"/>
    <col min="19" max="19" width="40.5703125" customWidth="1"/>
    <col min="20" max="20" width="42" customWidth="1"/>
    <col min="21" max="21" width="9.140625" customWidth="1"/>
    <col min="22" max="22" width="14.5703125" customWidth="1"/>
    <col min="23" max="23" width="9.140625" customWidth="1"/>
    <col min="24" max="24" width="13.140625" customWidth="1"/>
    <col min="25" max="25" width="11.85546875" customWidth="1"/>
    <col min="26" max="27" width="12.5703125" customWidth="1"/>
    <col min="28" max="28" width="9.140625" customWidth="1"/>
    <col min="29" max="29" width="17.85546875" customWidth="1"/>
    <col min="30" max="30" width="19.140625" customWidth="1"/>
    <col min="31" max="31" width="7" customWidth="1"/>
    <col min="32" max="32" width="18.28515625" bestFit="1" customWidth="1"/>
    <col min="33" max="33" width="17.140625" bestFit="1" customWidth="1"/>
    <col min="34" max="34" width="11.140625" bestFit="1" customWidth="1"/>
    <col min="35" max="35" width="7" customWidth="1"/>
    <col min="36" max="36" width="32.7109375" customWidth="1"/>
    <col min="37" max="37" width="20.140625" style="39" customWidth="1"/>
    <col min="38" max="38" width="20.5703125" customWidth="1"/>
    <col min="39" max="39" width="6.42578125" customWidth="1"/>
    <col min="40" max="40" width="26.7109375" customWidth="1"/>
    <col min="41" max="41" width="25.85546875" customWidth="1"/>
    <col min="42" max="42" width="22.85546875" customWidth="1"/>
    <col min="43" max="43" width="5.7109375" customWidth="1"/>
    <col min="44" max="44" width="37.7109375" customWidth="1"/>
    <col min="45" max="45" width="21.5703125" customWidth="1"/>
    <col min="46" max="46" width="5.85546875" customWidth="1"/>
    <col min="47" max="47" width="37.5703125" customWidth="1"/>
    <col min="48" max="48" width="22.140625" customWidth="1"/>
    <col min="49" max="49" width="23.28515625" customWidth="1"/>
  </cols>
  <sheetData>
    <row r="1" spans="2:49" s="9" customFormat="1" ht="60.75" customHeight="1" thickBot="1" x14ac:dyDescent="0.35">
      <c r="B1" s="9" t="s">
        <v>54</v>
      </c>
      <c r="H1" s="9" t="s">
        <v>55</v>
      </c>
      <c r="N1" s="9" t="s">
        <v>274</v>
      </c>
      <c r="O1" s="42"/>
      <c r="P1" s="42"/>
      <c r="Q1" s="42" t="s">
        <v>254</v>
      </c>
      <c r="R1" s="74" t="s">
        <v>275</v>
      </c>
      <c r="S1" s="845" t="s">
        <v>212</v>
      </c>
      <c r="T1" s="849"/>
      <c r="V1" s="845" t="s">
        <v>78</v>
      </c>
      <c r="W1" s="845"/>
      <c r="X1" s="845"/>
      <c r="Y1" s="845"/>
      <c r="Z1" s="845"/>
      <c r="AA1" s="845"/>
      <c r="AC1" s="845" t="s">
        <v>81</v>
      </c>
      <c r="AD1" s="845"/>
      <c r="AE1" s="74"/>
      <c r="AF1" s="845" t="s">
        <v>171</v>
      </c>
      <c r="AG1" s="849"/>
      <c r="AH1" s="832"/>
      <c r="AI1" s="74"/>
      <c r="AJ1" s="855" t="s">
        <v>193</v>
      </c>
      <c r="AK1" s="855"/>
      <c r="AL1" s="855"/>
      <c r="AN1" s="844" t="s">
        <v>195</v>
      </c>
      <c r="AO1" s="845"/>
      <c r="AP1" s="845"/>
      <c r="AR1" s="846" t="s">
        <v>192</v>
      </c>
      <c r="AS1" s="846"/>
      <c r="AU1" s="844" t="s">
        <v>194</v>
      </c>
      <c r="AV1" s="846"/>
      <c r="AW1" s="846"/>
    </row>
    <row r="2" spans="2:49" ht="15.75" thickBot="1" x14ac:dyDescent="0.3">
      <c r="V2" s="1"/>
      <c r="AJ2" s="854"/>
      <c r="AK2" s="854"/>
      <c r="AL2" s="854"/>
      <c r="AN2" s="47"/>
      <c r="AO2" s="49"/>
    </row>
    <row r="3" spans="2:49" s="48" customFormat="1" ht="43.5" customHeight="1" thickBot="1" x14ac:dyDescent="0.25">
      <c r="B3" s="850" t="s">
        <v>51</v>
      </c>
      <c r="C3" s="851"/>
      <c r="E3" s="847" t="s">
        <v>50</v>
      </c>
      <c r="F3" s="848"/>
      <c r="H3" s="852" t="s">
        <v>51</v>
      </c>
      <c r="I3" s="853"/>
      <c r="K3" s="852" t="s">
        <v>50</v>
      </c>
      <c r="L3" s="853"/>
      <c r="N3" s="54" t="s">
        <v>174</v>
      </c>
      <c r="O3" s="34" t="s">
        <v>3</v>
      </c>
      <c r="P3" s="37" t="s">
        <v>168</v>
      </c>
      <c r="Q3" s="37" t="s">
        <v>253</v>
      </c>
      <c r="R3" s="23" t="s">
        <v>268</v>
      </c>
      <c r="S3" s="55" t="s">
        <v>201</v>
      </c>
      <c r="T3" s="55" t="s">
        <v>202</v>
      </c>
      <c r="V3" s="52" t="s">
        <v>67</v>
      </c>
      <c r="W3" s="53" t="s">
        <v>11</v>
      </c>
      <c r="X3" s="53" t="s">
        <v>8</v>
      </c>
      <c r="Y3" s="53" t="s">
        <v>9</v>
      </c>
      <c r="Z3" s="53" t="s">
        <v>10</v>
      </c>
      <c r="AA3" s="53" t="s">
        <v>66</v>
      </c>
      <c r="AC3" s="23" t="s">
        <v>82</v>
      </c>
      <c r="AD3" s="23" t="s">
        <v>80</v>
      </c>
      <c r="AE3" s="82"/>
      <c r="AF3" s="34" t="s">
        <v>3</v>
      </c>
      <c r="AG3" s="23" t="s">
        <v>168</v>
      </c>
      <c r="AH3" s="75" t="s">
        <v>83</v>
      </c>
      <c r="AI3" s="82"/>
      <c r="AJ3" s="43" t="s">
        <v>179</v>
      </c>
      <c r="AK3" s="45" t="s">
        <v>180</v>
      </c>
      <c r="AL3" s="44" t="s">
        <v>181</v>
      </c>
      <c r="AN3" s="43" t="s">
        <v>179</v>
      </c>
      <c r="AO3" s="44" t="s">
        <v>186</v>
      </c>
      <c r="AP3" s="44" t="s">
        <v>187</v>
      </c>
      <c r="AR3" s="43" t="s">
        <v>179</v>
      </c>
      <c r="AS3" s="44" t="s">
        <v>187</v>
      </c>
      <c r="AU3" s="43" t="s">
        <v>179</v>
      </c>
      <c r="AV3" s="44" t="s">
        <v>186</v>
      </c>
      <c r="AW3" s="44" t="s">
        <v>187</v>
      </c>
    </row>
    <row r="4" spans="2:49" ht="29.25" thickBot="1" x14ac:dyDescent="0.3">
      <c r="B4" s="19" t="s">
        <v>52</v>
      </c>
      <c r="C4" s="20" t="s">
        <v>53</v>
      </c>
      <c r="E4" s="21" t="s">
        <v>52</v>
      </c>
      <c r="F4" s="22" t="s">
        <v>53</v>
      </c>
      <c r="H4" s="21" t="s">
        <v>56</v>
      </c>
      <c r="I4" s="22" t="s">
        <v>58</v>
      </c>
      <c r="K4" s="21" t="s">
        <v>56</v>
      </c>
      <c r="L4" s="22" t="s">
        <v>57</v>
      </c>
      <c r="N4" s="38" t="s">
        <v>173</v>
      </c>
      <c r="O4" s="119" t="s">
        <v>269</v>
      </c>
      <c r="P4" s="136" t="s">
        <v>100</v>
      </c>
      <c r="Q4" s="141" t="s">
        <v>72</v>
      </c>
      <c r="R4" s="136" t="s">
        <v>100</v>
      </c>
      <c r="S4" s="93" t="s">
        <v>149</v>
      </c>
      <c r="T4" s="76" t="s">
        <v>191</v>
      </c>
      <c r="V4" s="17" t="s">
        <v>69</v>
      </c>
      <c r="W4" s="18" t="s">
        <v>75</v>
      </c>
      <c r="X4" s="16">
        <v>9.1605000000000008</v>
      </c>
      <c r="Y4" s="16">
        <v>2.0255999999999998</v>
      </c>
      <c r="Z4" s="16">
        <v>-6.6841999999999999E-2</v>
      </c>
      <c r="AA4" s="16">
        <v>-4.4171999999999996E-3</v>
      </c>
      <c r="AC4" s="24">
        <v>7</v>
      </c>
      <c r="AD4" s="25">
        <v>1.3</v>
      </c>
      <c r="AE4" s="79"/>
      <c r="AF4" s="84" t="s">
        <v>153</v>
      </c>
      <c r="AG4" s="85" t="s">
        <v>97</v>
      </c>
      <c r="AH4" s="86">
        <v>0.53</v>
      </c>
      <c r="AI4" s="79"/>
      <c r="AJ4" s="5" t="s">
        <v>184</v>
      </c>
      <c r="AK4" s="6">
        <v>1.8815399999999999E-5</v>
      </c>
      <c r="AL4" s="6">
        <v>2.4767000000000001</v>
      </c>
      <c r="AN4" s="5" t="s">
        <v>184</v>
      </c>
      <c r="AO4" s="6">
        <v>-0.45951864799999997</v>
      </c>
      <c r="AP4" s="6">
        <v>1.5263082000000001E-2</v>
      </c>
      <c r="AR4" s="5" t="s">
        <v>190</v>
      </c>
      <c r="AS4" s="6">
        <v>1.7326E-5</v>
      </c>
      <c r="AU4" s="5" t="s">
        <v>190</v>
      </c>
      <c r="AV4" s="6">
        <v>-0.13348042299999999</v>
      </c>
      <c r="AW4" s="6">
        <v>7.2963000000000004E-3</v>
      </c>
    </row>
    <row r="5" spans="2:49" ht="29.25" customHeight="1" thickBot="1" x14ac:dyDescent="0.3">
      <c r="B5" s="5">
        <v>1</v>
      </c>
      <c r="C5" s="6">
        <v>4.2300000000000002E-6</v>
      </c>
      <c r="E5" s="5">
        <v>1</v>
      </c>
      <c r="F5" s="6">
        <v>4.3800000000000004E-6</v>
      </c>
      <c r="H5" s="12">
        <v>0.6</v>
      </c>
      <c r="I5" s="6">
        <v>1.8199999999999999E-5</v>
      </c>
      <c r="K5" s="12">
        <v>0.6</v>
      </c>
      <c r="L5" s="6">
        <v>2.2200000000000001E-5</v>
      </c>
      <c r="N5" s="38" t="s">
        <v>173</v>
      </c>
      <c r="O5" s="36" t="s">
        <v>153</v>
      </c>
      <c r="P5" s="121" t="s">
        <v>97</v>
      </c>
      <c r="Q5" s="142" t="s">
        <v>97</v>
      </c>
      <c r="R5" s="121" t="s">
        <v>97</v>
      </c>
      <c r="S5" s="93" t="s">
        <v>149</v>
      </c>
      <c r="T5" s="76" t="s">
        <v>191</v>
      </c>
      <c r="V5" s="17" t="s">
        <v>69</v>
      </c>
      <c r="W5" s="18" t="s">
        <v>71</v>
      </c>
      <c r="X5" s="16">
        <v>7.4848999999999997</v>
      </c>
      <c r="Y5" s="16">
        <v>1.9261999999999999</v>
      </c>
      <c r="Z5" s="16">
        <v>-3.7881E-3</v>
      </c>
      <c r="AA5" s="16">
        <v>-8.2745000000000006E-3</v>
      </c>
      <c r="AC5" s="26">
        <v>8</v>
      </c>
      <c r="AD5" s="27">
        <v>1.19</v>
      </c>
      <c r="AE5" s="79"/>
      <c r="AF5" s="87" t="s">
        <v>269</v>
      </c>
      <c r="AG5" s="88" t="s">
        <v>100</v>
      </c>
      <c r="AH5" s="89">
        <v>0.42</v>
      </c>
      <c r="AI5" s="79"/>
      <c r="AJ5" s="5" t="s">
        <v>131</v>
      </c>
      <c r="AK5" s="46">
        <v>1.2264499999999999E-5</v>
      </c>
      <c r="AL5" s="6">
        <v>2.4767000000000001</v>
      </c>
      <c r="AN5" s="5" t="s">
        <v>131</v>
      </c>
      <c r="AO5" s="6">
        <v>-0.299529453</v>
      </c>
      <c r="AP5" s="6">
        <v>9.9489820000000003E-3</v>
      </c>
      <c r="AR5" s="5" t="s">
        <v>189</v>
      </c>
      <c r="AS5" s="6">
        <v>1.5404E-5</v>
      </c>
      <c r="AU5" s="5" t="s">
        <v>189</v>
      </c>
      <c r="AV5" s="6">
        <v>-0.118673233</v>
      </c>
      <c r="AW5" s="6">
        <v>6.4869100000000002E-3</v>
      </c>
    </row>
    <row r="6" spans="2:49" ht="43.5" customHeight="1" thickBot="1" x14ac:dyDescent="0.3">
      <c r="B6" s="5">
        <v>2</v>
      </c>
      <c r="C6" s="6">
        <v>1.7419999999999999E-5</v>
      </c>
      <c r="E6" s="5">
        <v>2</v>
      </c>
      <c r="F6" s="6">
        <v>1.8689999999999999E-5</v>
      </c>
      <c r="H6" s="12">
        <v>0.7</v>
      </c>
      <c r="I6" s="6">
        <v>2.5000000000000001E-5</v>
      </c>
      <c r="K6" s="12">
        <v>0.7</v>
      </c>
      <c r="L6" s="6">
        <v>3.04E-5</v>
      </c>
      <c r="N6" s="138" t="s">
        <v>173</v>
      </c>
      <c r="O6" s="134" t="s">
        <v>178</v>
      </c>
      <c r="P6" s="135" t="s">
        <v>273</v>
      </c>
      <c r="Q6" s="135" t="s">
        <v>73</v>
      </c>
      <c r="R6" s="135" t="s">
        <v>100</v>
      </c>
      <c r="S6" s="93" t="s">
        <v>149</v>
      </c>
      <c r="T6" s="76" t="s">
        <v>191</v>
      </c>
      <c r="V6" s="17" t="s">
        <v>69</v>
      </c>
      <c r="W6" s="18" t="s">
        <v>72</v>
      </c>
      <c r="X6" s="16">
        <v>5.6237000000000004</v>
      </c>
      <c r="Y6" s="16">
        <v>2.238</v>
      </c>
      <c r="Z6" s="16">
        <v>8.7169999999999997E-2</v>
      </c>
      <c r="AA6" s="16">
        <v>-3.3262E-2</v>
      </c>
      <c r="AC6" s="26">
        <v>9</v>
      </c>
      <c r="AD6" s="27">
        <v>1.1499999999999999</v>
      </c>
      <c r="AE6" s="79"/>
      <c r="AF6" s="87" t="s">
        <v>151</v>
      </c>
      <c r="AG6" s="88" t="s">
        <v>71</v>
      </c>
      <c r="AH6" s="89">
        <v>0.55000000000000004</v>
      </c>
      <c r="AI6" s="79"/>
      <c r="AJ6" s="5" t="s">
        <v>141</v>
      </c>
      <c r="AK6" s="6">
        <v>1.6860200000000002E-5</v>
      </c>
      <c r="AL6" s="6">
        <v>2.4767000000000001</v>
      </c>
      <c r="AN6" s="5" t="s">
        <v>141</v>
      </c>
      <c r="AO6" s="6">
        <v>-0.411767824</v>
      </c>
      <c r="AP6" s="6">
        <v>1.3677020999999999E-2</v>
      </c>
      <c r="AR6" s="5" t="s">
        <v>136</v>
      </c>
      <c r="AS6" s="6">
        <v>1.1883E-5</v>
      </c>
      <c r="AU6" s="5" t="s">
        <v>136</v>
      </c>
      <c r="AV6" s="6">
        <v>-9.1547262000000004E-2</v>
      </c>
      <c r="AW6" s="6">
        <v>5.0041520000000004E-3</v>
      </c>
    </row>
    <row r="7" spans="2:49" ht="29.25" customHeight="1" thickBot="1" x14ac:dyDescent="0.3">
      <c r="B7" s="5">
        <v>3</v>
      </c>
      <c r="C7" s="6">
        <v>3.9900000000000001E-5</v>
      </c>
      <c r="E7" s="5">
        <v>3</v>
      </c>
      <c r="F7" s="6">
        <v>4.3689999999999997E-5</v>
      </c>
      <c r="H7" s="12">
        <v>0.8</v>
      </c>
      <c r="I7" s="6">
        <v>3.2799999999999998E-5</v>
      </c>
      <c r="K7" s="12">
        <v>0.8</v>
      </c>
      <c r="L7" s="6">
        <v>4.0000000000000003E-5</v>
      </c>
      <c r="N7" s="38" t="s">
        <v>173</v>
      </c>
      <c r="O7" s="36" t="s">
        <v>151</v>
      </c>
      <c r="P7" s="121" t="s">
        <v>71</v>
      </c>
      <c r="Q7" s="123" t="s">
        <v>71</v>
      </c>
      <c r="R7" s="121" t="s">
        <v>71</v>
      </c>
      <c r="S7" s="93" t="s">
        <v>151</v>
      </c>
      <c r="T7" s="76" t="s">
        <v>191</v>
      </c>
      <c r="V7" s="17" t="s">
        <v>68</v>
      </c>
      <c r="W7" s="17" t="s">
        <v>12</v>
      </c>
      <c r="X7" s="15">
        <v>5.0708419999999998</v>
      </c>
      <c r="Y7" s="15">
        <v>1.7540530000000001</v>
      </c>
      <c r="Z7" s="15">
        <v>-0.19383400000000001</v>
      </c>
      <c r="AA7" s="15">
        <v>0</v>
      </c>
      <c r="AC7" s="26">
        <v>10</v>
      </c>
      <c r="AD7" s="27">
        <v>1.1200000000000001</v>
      </c>
      <c r="AE7" s="79"/>
      <c r="AF7" s="87" t="s">
        <v>154</v>
      </c>
      <c r="AG7" s="88" t="s">
        <v>72</v>
      </c>
      <c r="AH7" s="89">
        <v>0.53</v>
      </c>
      <c r="AI7" s="79"/>
      <c r="AJ7" s="5" t="s">
        <v>183</v>
      </c>
      <c r="AK7" s="46">
        <v>1.4462E-5</v>
      </c>
      <c r="AL7" s="6">
        <v>2.4767000000000001</v>
      </c>
      <c r="AN7" s="5" t="s">
        <v>183</v>
      </c>
      <c r="AO7" s="6">
        <v>-0.35319784300000001</v>
      </c>
      <c r="AP7" s="6">
        <v>1.1731597E-2</v>
      </c>
      <c r="AR7" s="5" t="s">
        <v>191</v>
      </c>
      <c r="AS7" s="6">
        <v>2.27E-5</v>
      </c>
      <c r="AU7" s="5" t="s">
        <v>191</v>
      </c>
      <c r="AV7" s="6">
        <v>-0.17488200400000001</v>
      </c>
      <c r="AW7" s="6">
        <v>9.5593910000000004E-3</v>
      </c>
    </row>
    <row r="8" spans="2:49" ht="100.5" customHeight="1" thickBot="1" x14ac:dyDescent="0.3">
      <c r="B8" s="5">
        <v>4</v>
      </c>
      <c r="C8" s="6">
        <v>7.182E-5</v>
      </c>
      <c r="E8" s="5">
        <v>4</v>
      </c>
      <c r="F8" s="6">
        <v>7.9800000000000002E-5</v>
      </c>
      <c r="H8" s="12">
        <v>0.9</v>
      </c>
      <c r="I8" s="6">
        <v>4.18E-5</v>
      </c>
      <c r="K8" s="12">
        <v>0.9</v>
      </c>
      <c r="L8" s="6">
        <v>5.0899999999999997E-5</v>
      </c>
      <c r="N8" s="128" t="s">
        <v>173</v>
      </c>
      <c r="O8" s="36" t="s">
        <v>285</v>
      </c>
      <c r="P8" s="134" t="s">
        <v>72</v>
      </c>
      <c r="Q8" s="142" t="s">
        <v>72</v>
      </c>
      <c r="R8" s="134" t="s">
        <v>72</v>
      </c>
      <c r="S8" s="93" t="s">
        <v>149</v>
      </c>
      <c r="T8" s="76" t="s">
        <v>191</v>
      </c>
      <c r="V8" s="17" t="s">
        <v>68</v>
      </c>
      <c r="W8" s="17" t="s">
        <v>13</v>
      </c>
      <c r="X8" s="15">
        <v>10.39748</v>
      </c>
      <c r="Y8" s="15">
        <v>1.4773130000000001</v>
      </c>
      <c r="Z8" s="15">
        <v>-0.32565300000000003</v>
      </c>
      <c r="AA8" s="15">
        <v>0</v>
      </c>
      <c r="AC8" s="26">
        <v>11</v>
      </c>
      <c r="AD8" s="27">
        <v>1.0900000000000001</v>
      </c>
      <c r="AE8" s="79"/>
      <c r="AF8" s="87" t="s">
        <v>131</v>
      </c>
      <c r="AG8" s="88" t="s">
        <v>12</v>
      </c>
      <c r="AH8" s="89">
        <v>0.4</v>
      </c>
      <c r="AI8" s="79"/>
      <c r="AJ8" s="5" t="s">
        <v>182</v>
      </c>
      <c r="AK8" s="46">
        <v>4.3871700000000002E-5</v>
      </c>
      <c r="AL8" s="6">
        <v>2.0291000000000001</v>
      </c>
      <c r="AN8" s="5" t="s">
        <v>182</v>
      </c>
      <c r="AO8" s="6">
        <v>-0.12904696700000001</v>
      </c>
      <c r="AP8" s="6">
        <v>5.0390110000000004E-3</v>
      </c>
      <c r="AR8" s="5" t="s">
        <v>135</v>
      </c>
      <c r="AS8" s="6">
        <v>2.0454000000000001E-5</v>
      </c>
      <c r="AU8" s="5" t="s">
        <v>135</v>
      </c>
      <c r="AV8" s="6">
        <v>-0.15757870099999999</v>
      </c>
      <c r="AW8" s="6">
        <v>8.6135589999999998E-3</v>
      </c>
    </row>
    <row r="9" spans="2:49" ht="29.25" customHeight="1" thickBot="1" x14ac:dyDescent="0.3">
      <c r="B9" s="5">
        <v>5</v>
      </c>
      <c r="C9" s="6">
        <v>1.1331E-4</v>
      </c>
      <c r="E9" s="5">
        <v>5</v>
      </c>
      <c r="F9" s="6">
        <v>1.2732999999999999E-4</v>
      </c>
      <c r="H9" s="12">
        <v>1</v>
      </c>
      <c r="I9" s="6">
        <v>5.1900000000000001E-5</v>
      </c>
      <c r="K9" s="12">
        <v>1</v>
      </c>
      <c r="L9" s="6">
        <v>6.3100000000000002E-5</v>
      </c>
      <c r="N9" s="38" t="s">
        <v>173</v>
      </c>
      <c r="O9" s="95" t="s">
        <v>169</v>
      </c>
      <c r="P9" s="121" t="s">
        <v>87</v>
      </c>
      <c r="Q9" s="134" t="s">
        <v>72</v>
      </c>
      <c r="R9" s="121" t="s">
        <v>103</v>
      </c>
      <c r="S9" s="93" t="s">
        <v>149</v>
      </c>
      <c r="T9" s="76" t="s">
        <v>191</v>
      </c>
      <c r="V9" s="17" t="s">
        <v>68</v>
      </c>
      <c r="W9" s="17" t="s">
        <v>14</v>
      </c>
      <c r="X9" s="15">
        <v>5.5621669999999996</v>
      </c>
      <c r="Y9" s="15">
        <v>1.9084730000000001</v>
      </c>
      <c r="Z9" s="15">
        <v>-0.42656699999999997</v>
      </c>
      <c r="AA9" s="15">
        <v>0</v>
      </c>
      <c r="AC9" s="26">
        <v>12</v>
      </c>
      <c r="AD9" s="27">
        <v>1.07</v>
      </c>
      <c r="AE9" s="79"/>
      <c r="AF9" s="87" t="s">
        <v>141</v>
      </c>
      <c r="AG9" s="88" t="s">
        <v>13</v>
      </c>
      <c r="AH9" s="89">
        <v>0.41</v>
      </c>
      <c r="AI9" s="79"/>
      <c r="AJ9" s="7" t="s">
        <v>132</v>
      </c>
      <c r="AK9" s="51">
        <v>1.7628699999999999E-5</v>
      </c>
      <c r="AL9" s="8">
        <v>2.4767000000000001</v>
      </c>
      <c r="AN9" s="5" t="s">
        <v>132</v>
      </c>
      <c r="AO9" s="6">
        <v>-0.43053649599999999</v>
      </c>
      <c r="AP9" s="6">
        <v>1.4300429E-2</v>
      </c>
      <c r="AR9" s="5" t="s">
        <v>188</v>
      </c>
      <c r="AS9" s="6">
        <v>1.0722E-5</v>
      </c>
      <c r="AU9" s="5" t="s">
        <v>188</v>
      </c>
      <c r="AV9" s="6">
        <v>-8.2602857000000002E-2</v>
      </c>
      <c r="AW9" s="6">
        <v>4.5152329999999996E-3</v>
      </c>
    </row>
    <row r="10" spans="2:49" ht="16.5" thickBot="1" x14ac:dyDescent="0.3">
      <c r="B10" s="5">
        <v>6</v>
      </c>
      <c r="C10" s="6">
        <v>1.6446000000000001E-4</v>
      </c>
      <c r="E10" s="5">
        <v>6</v>
      </c>
      <c r="F10" s="6">
        <v>1.8652999999999999E-4</v>
      </c>
      <c r="H10" s="12">
        <v>1.1000000000000001</v>
      </c>
      <c r="I10" s="6">
        <v>6.3100000000000002E-5</v>
      </c>
      <c r="K10" s="12">
        <v>1.1000000000000001</v>
      </c>
      <c r="L10" s="6">
        <v>7.6699999999999994E-5</v>
      </c>
      <c r="N10" s="138" t="s">
        <v>68</v>
      </c>
      <c r="O10" s="134" t="s">
        <v>259</v>
      </c>
      <c r="P10" s="133" t="s">
        <v>277</v>
      </c>
      <c r="Q10" s="133" t="s">
        <v>17</v>
      </c>
      <c r="R10" s="133" t="s">
        <v>12</v>
      </c>
      <c r="S10" s="130" t="s">
        <v>131</v>
      </c>
      <c r="T10" s="139" t="s">
        <v>188</v>
      </c>
      <c r="V10" s="17" t="s">
        <v>69</v>
      </c>
      <c r="W10" s="18" t="s">
        <v>102</v>
      </c>
      <c r="X10" s="16">
        <v>6.2887000000000004</v>
      </c>
      <c r="Y10" s="16">
        <v>1.6995</v>
      </c>
      <c r="Z10" s="16">
        <v>2.8511999999999999E-2</v>
      </c>
      <c r="AA10" s="16">
        <v>-6.9293999999999996E-3</v>
      </c>
      <c r="AC10" s="26">
        <v>13</v>
      </c>
      <c r="AD10" s="27">
        <v>1.06</v>
      </c>
      <c r="AE10" s="79"/>
      <c r="AF10" s="87" t="s">
        <v>138</v>
      </c>
      <c r="AG10" s="88" t="s">
        <v>14</v>
      </c>
      <c r="AH10" s="89">
        <v>0.45</v>
      </c>
      <c r="AI10" s="79"/>
      <c r="AJ10" s="5" t="s">
        <v>185</v>
      </c>
      <c r="AK10" s="6">
        <v>1.6851299999999999E-5</v>
      </c>
      <c r="AL10" s="6">
        <v>2.4767000000000001</v>
      </c>
      <c r="AN10" s="5" t="s">
        <v>185</v>
      </c>
      <c r="AO10" s="6">
        <v>-0.411550464</v>
      </c>
      <c r="AP10" s="6">
        <v>1.3669801000000001E-2</v>
      </c>
    </row>
    <row r="11" spans="2:49" ht="16.5" thickBot="1" x14ac:dyDescent="0.3">
      <c r="B11" s="5">
        <v>7</v>
      </c>
      <c r="C11" s="6">
        <v>2.2535E-4</v>
      </c>
      <c r="E11" s="5">
        <v>7</v>
      </c>
      <c r="F11" s="6">
        <v>2.5758999999999998E-4</v>
      </c>
      <c r="H11" s="12">
        <v>1.2</v>
      </c>
      <c r="I11" s="6">
        <v>7.5400000000000003E-5</v>
      </c>
      <c r="K11" s="12">
        <v>1.2</v>
      </c>
      <c r="L11" s="6">
        <v>9.1600000000000004E-5</v>
      </c>
      <c r="N11" s="138" t="s">
        <v>69</v>
      </c>
      <c r="O11" s="134" t="s">
        <v>204</v>
      </c>
      <c r="P11" s="133" t="s">
        <v>111</v>
      </c>
      <c r="Q11" s="133" t="s">
        <v>72</v>
      </c>
      <c r="R11" s="133" t="s">
        <v>97</v>
      </c>
      <c r="S11" s="140" t="s">
        <v>149</v>
      </c>
      <c r="T11" s="76" t="s">
        <v>191</v>
      </c>
      <c r="V11" s="17" t="s">
        <v>68</v>
      </c>
      <c r="W11" s="17" t="s">
        <v>15</v>
      </c>
      <c r="X11" s="15">
        <v>6.5656299999999996</v>
      </c>
      <c r="Y11" s="15">
        <v>2.0434899999999998</v>
      </c>
      <c r="Z11" s="15">
        <v>-0.59155000000000002</v>
      </c>
      <c r="AA11" s="15">
        <v>0</v>
      </c>
      <c r="AC11" s="26">
        <v>14</v>
      </c>
      <c r="AD11" s="27">
        <v>1.05</v>
      </c>
      <c r="AE11" s="79"/>
      <c r="AF11" s="87" t="s">
        <v>159</v>
      </c>
      <c r="AG11" s="88" t="s">
        <v>102</v>
      </c>
      <c r="AH11" s="89">
        <v>0.43</v>
      </c>
      <c r="AI11" s="79"/>
      <c r="AJ11" s="5" t="s">
        <v>130</v>
      </c>
      <c r="AK11" s="46">
        <v>1.61411E-5</v>
      </c>
      <c r="AL11" s="6">
        <v>2.4767000000000001</v>
      </c>
      <c r="AN11" s="5" t="s">
        <v>130</v>
      </c>
      <c r="AO11" s="6">
        <v>-0.39420562199999998</v>
      </c>
      <c r="AP11" s="6">
        <v>1.3093685000000001E-2</v>
      </c>
    </row>
    <row r="12" spans="2:49" ht="16.5" thickBot="1" x14ac:dyDescent="0.3">
      <c r="B12" s="5">
        <v>8</v>
      </c>
      <c r="C12" s="6">
        <v>2.9605000000000001E-4</v>
      </c>
      <c r="E12" s="5">
        <v>8</v>
      </c>
      <c r="F12" s="6">
        <v>3.4068999999999999E-4</v>
      </c>
      <c r="H12" s="12">
        <v>1.3</v>
      </c>
      <c r="I12" s="6">
        <v>8.8900000000000006E-5</v>
      </c>
      <c r="K12" s="12">
        <v>1.3</v>
      </c>
      <c r="L12" s="6">
        <v>1.08E-4</v>
      </c>
      <c r="N12" s="94" t="s">
        <v>68</v>
      </c>
      <c r="O12" s="92" t="s">
        <v>260</v>
      </c>
      <c r="P12" s="120" t="s">
        <v>312</v>
      </c>
      <c r="Q12" s="120" t="s">
        <v>19</v>
      </c>
      <c r="R12" s="120" t="s">
        <v>19</v>
      </c>
      <c r="S12" s="137" t="s">
        <v>183</v>
      </c>
      <c r="T12" s="129" t="s">
        <v>136</v>
      </c>
      <c r="V12" s="17" t="s">
        <v>68</v>
      </c>
      <c r="W12" s="17" t="s">
        <v>16</v>
      </c>
      <c r="X12" s="15">
        <v>8.4781270000000006</v>
      </c>
      <c r="Y12" s="15">
        <v>1.7887679999999999</v>
      </c>
      <c r="Z12" s="15">
        <v>-0.44981599999999999</v>
      </c>
      <c r="AA12" s="15">
        <v>0</v>
      </c>
      <c r="AC12" s="26">
        <v>15</v>
      </c>
      <c r="AD12" s="27">
        <v>1.04</v>
      </c>
      <c r="AE12" s="80"/>
      <c r="AF12" s="87" t="s">
        <v>148</v>
      </c>
      <c r="AG12" s="88" t="s">
        <v>95</v>
      </c>
      <c r="AH12" s="89">
        <v>0.38</v>
      </c>
      <c r="AI12" s="80"/>
      <c r="AJ12" s="47"/>
      <c r="AK12" s="49"/>
    </row>
    <row r="13" spans="2:49" ht="16.5" thickBot="1" x14ac:dyDescent="0.3">
      <c r="B13" s="5">
        <v>9</v>
      </c>
      <c r="C13" s="6">
        <v>3.7660999999999999E-4</v>
      </c>
      <c r="E13" s="5">
        <v>9</v>
      </c>
      <c r="F13" s="6">
        <v>4.3597999999999998E-4</v>
      </c>
      <c r="H13" s="12">
        <v>1.4</v>
      </c>
      <c r="I13" s="6">
        <v>1.036E-4</v>
      </c>
      <c r="K13" s="12">
        <v>1.4</v>
      </c>
      <c r="L13" s="6">
        <v>1.2569999999999999E-4</v>
      </c>
      <c r="N13" s="128" t="s">
        <v>68</v>
      </c>
      <c r="O13" s="92" t="s">
        <v>123</v>
      </c>
      <c r="P13" s="134" t="s">
        <v>105</v>
      </c>
      <c r="Q13" s="134" t="s">
        <v>15</v>
      </c>
      <c r="R13" s="143" t="s">
        <v>15</v>
      </c>
      <c r="S13" s="137" t="s">
        <v>183</v>
      </c>
      <c r="T13" s="132" t="s">
        <v>189</v>
      </c>
      <c r="V13" s="17" t="s">
        <v>68</v>
      </c>
      <c r="W13" s="17" t="s">
        <v>17</v>
      </c>
      <c r="X13" s="15">
        <v>8.8552920000000004</v>
      </c>
      <c r="Y13" s="15">
        <v>1.951643</v>
      </c>
      <c r="Z13" s="15">
        <v>-0.68961899999999998</v>
      </c>
      <c r="AA13" s="15">
        <v>0</v>
      </c>
      <c r="AC13" s="26">
        <v>16</v>
      </c>
      <c r="AD13" s="27">
        <v>1.03</v>
      </c>
      <c r="AE13" s="80"/>
      <c r="AF13" s="87" t="s">
        <v>146</v>
      </c>
      <c r="AG13" s="88" t="s">
        <v>15</v>
      </c>
      <c r="AH13" s="89">
        <v>0.3</v>
      </c>
      <c r="AI13" s="80"/>
      <c r="AJ13" s="50" t="s">
        <v>432</v>
      </c>
      <c r="AK13" s="40"/>
      <c r="AL13" s="40"/>
    </row>
    <row r="14" spans="2:49" ht="16.5" thickBot="1" x14ac:dyDescent="0.3">
      <c r="B14" s="5">
        <v>10</v>
      </c>
      <c r="C14" s="6">
        <v>4.6707999999999998E-4</v>
      </c>
      <c r="E14" s="5">
        <v>10</v>
      </c>
      <c r="F14" s="6">
        <v>5.4359999999999999E-4</v>
      </c>
      <c r="H14" s="12">
        <v>1.5</v>
      </c>
      <c r="I14" s="6">
        <v>1.194E-4</v>
      </c>
      <c r="K14" s="12">
        <v>1.5</v>
      </c>
      <c r="L14" s="6">
        <v>1.449E-4</v>
      </c>
      <c r="N14" s="128" t="s">
        <v>173</v>
      </c>
      <c r="O14" s="92" t="s">
        <v>170</v>
      </c>
      <c r="P14" s="134" t="s">
        <v>112</v>
      </c>
      <c r="Q14" s="134" t="s">
        <v>72</v>
      </c>
      <c r="R14" s="134" t="s">
        <v>100</v>
      </c>
      <c r="S14" s="93" t="s">
        <v>149</v>
      </c>
      <c r="T14" s="131" t="s">
        <v>191</v>
      </c>
      <c r="V14" s="17" t="s">
        <v>68</v>
      </c>
      <c r="W14" s="17" t="s">
        <v>18</v>
      </c>
      <c r="X14" s="15">
        <v>7.0285479999999998</v>
      </c>
      <c r="Y14" s="15">
        <v>1.930016</v>
      </c>
      <c r="Z14" s="15">
        <v>-0.37380799999999997</v>
      </c>
      <c r="AA14" s="15">
        <v>0</v>
      </c>
      <c r="AC14" s="26">
        <v>17</v>
      </c>
      <c r="AD14" s="27">
        <v>1.03</v>
      </c>
      <c r="AE14" s="80"/>
      <c r="AF14" s="87" t="s">
        <v>161</v>
      </c>
      <c r="AG14" s="88" t="s">
        <v>104</v>
      </c>
      <c r="AH14" s="89">
        <v>0.56999999999999995</v>
      </c>
      <c r="AI14" s="80"/>
      <c r="AJ14" s="35" t="s">
        <v>433</v>
      </c>
      <c r="AK14" s="35"/>
      <c r="AL14" s="35"/>
    </row>
    <row r="15" spans="2:49" ht="16.5" thickBot="1" x14ac:dyDescent="0.3">
      <c r="B15" s="5">
        <v>11</v>
      </c>
      <c r="C15" s="6">
        <v>5.6751999999999996E-4</v>
      </c>
      <c r="E15" s="5">
        <v>11</v>
      </c>
      <c r="F15" s="6">
        <v>6.6366999999999999E-4</v>
      </c>
      <c r="H15" s="12">
        <v>1.6</v>
      </c>
      <c r="I15" s="6">
        <v>1.3650000000000001E-4</v>
      </c>
      <c r="K15" s="12">
        <v>1.6</v>
      </c>
      <c r="L15" s="6">
        <v>1.6550000000000001E-4</v>
      </c>
      <c r="N15" s="38" t="s">
        <v>173</v>
      </c>
      <c r="O15" s="92" t="s">
        <v>166</v>
      </c>
      <c r="P15" s="121" t="s">
        <v>117</v>
      </c>
      <c r="Q15" s="121" t="s">
        <v>74</v>
      </c>
      <c r="R15" s="134" t="s">
        <v>101</v>
      </c>
      <c r="S15" s="93" t="s">
        <v>149</v>
      </c>
      <c r="T15" s="131" t="s">
        <v>191</v>
      </c>
      <c r="V15" s="17" t="s">
        <v>68</v>
      </c>
      <c r="W15" s="17" t="s">
        <v>19</v>
      </c>
      <c r="X15" s="15">
        <v>9.939311</v>
      </c>
      <c r="Y15" s="15">
        <v>1.985697</v>
      </c>
      <c r="Z15" s="15">
        <v>-0.65062500000000001</v>
      </c>
      <c r="AA15" s="15">
        <v>0</v>
      </c>
      <c r="AC15" s="26">
        <v>18</v>
      </c>
      <c r="AD15" s="27">
        <v>1.02</v>
      </c>
      <c r="AE15" s="80"/>
      <c r="AF15" s="87" t="s">
        <v>157</v>
      </c>
      <c r="AG15" s="88" t="s">
        <v>99</v>
      </c>
      <c r="AH15" s="89">
        <v>0.44</v>
      </c>
      <c r="AI15" s="80"/>
      <c r="AJ15" s="35" t="s">
        <v>427</v>
      </c>
      <c r="AK15" s="35"/>
      <c r="AL15" s="35"/>
    </row>
    <row r="16" spans="2:49" ht="16.5" customHeight="1" thickBot="1" x14ac:dyDescent="0.3">
      <c r="B16" s="5">
        <v>12</v>
      </c>
      <c r="C16" s="6">
        <v>6.7796000000000002E-4</v>
      </c>
      <c r="E16" s="5">
        <v>12</v>
      </c>
      <c r="F16" s="6">
        <v>7.963E-4</v>
      </c>
      <c r="H16" s="12">
        <v>1.7</v>
      </c>
      <c r="I16" s="6">
        <v>1.5469999999999999E-4</v>
      </c>
      <c r="K16" s="12">
        <v>1.7</v>
      </c>
      <c r="L16" s="6">
        <v>1.8760000000000001E-4</v>
      </c>
      <c r="N16" s="38" t="s">
        <v>68</v>
      </c>
      <c r="O16" s="36" t="s">
        <v>131</v>
      </c>
      <c r="P16" s="121" t="s">
        <v>12</v>
      </c>
      <c r="Q16" s="144" t="s">
        <v>12</v>
      </c>
      <c r="R16" s="121" t="s">
        <v>12</v>
      </c>
      <c r="S16" s="93" t="s">
        <v>131</v>
      </c>
      <c r="T16" s="139" t="s">
        <v>188</v>
      </c>
      <c r="V16" s="17" t="s">
        <v>69</v>
      </c>
      <c r="W16" s="18" t="s">
        <v>70</v>
      </c>
      <c r="X16" s="16">
        <v>5.883</v>
      </c>
      <c r="Y16" s="16">
        <v>2.0123000000000002</v>
      </c>
      <c r="Z16" s="16">
        <v>-5.4780000000000002E-3</v>
      </c>
      <c r="AA16" s="16">
        <v>-5.7397000000000004E-3</v>
      </c>
      <c r="AC16" s="26">
        <v>19</v>
      </c>
      <c r="AD16" s="27">
        <v>1.02</v>
      </c>
      <c r="AE16" s="80"/>
      <c r="AF16" s="87" t="s">
        <v>140</v>
      </c>
      <c r="AG16" s="88" t="s">
        <v>91</v>
      </c>
      <c r="AH16" s="89">
        <v>0.38</v>
      </c>
      <c r="AI16" s="80"/>
      <c r="AJ16" s="35" t="s">
        <v>434</v>
      </c>
      <c r="AK16" s="35"/>
      <c r="AL16" s="35"/>
    </row>
    <row r="17" spans="2:38" ht="16.5" thickBot="1" x14ac:dyDescent="0.3">
      <c r="B17" s="5">
        <v>13</v>
      </c>
      <c r="C17" s="6">
        <v>7.9843000000000004E-4</v>
      </c>
      <c r="E17" s="5">
        <v>13</v>
      </c>
      <c r="F17" s="6">
        <v>9.4160999999999995E-4</v>
      </c>
      <c r="H17" s="12">
        <v>1.8</v>
      </c>
      <c r="I17" s="6">
        <v>1.7420000000000001E-4</v>
      </c>
      <c r="K17" s="12">
        <v>1.8</v>
      </c>
      <c r="L17" s="6">
        <v>2.1110000000000001E-4</v>
      </c>
      <c r="N17" s="138" t="s">
        <v>69</v>
      </c>
      <c r="O17" s="92" t="s">
        <v>203</v>
      </c>
      <c r="P17" s="135" t="s">
        <v>111</v>
      </c>
      <c r="Q17" s="135" t="s">
        <v>72</v>
      </c>
      <c r="R17" s="135" t="s">
        <v>74</v>
      </c>
      <c r="S17" s="93" t="s">
        <v>149</v>
      </c>
      <c r="T17" s="76" t="s">
        <v>191</v>
      </c>
      <c r="V17" s="17" t="s">
        <v>69</v>
      </c>
      <c r="W17" s="18" t="s">
        <v>73</v>
      </c>
      <c r="X17" s="16">
        <v>10.90625</v>
      </c>
      <c r="Y17" s="16">
        <v>1.0532699999999999</v>
      </c>
      <c r="Z17" s="16">
        <v>0</v>
      </c>
      <c r="AA17" s="16">
        <v>0</v>
      </c>
      <c r="AC17" s="26">
        <v>20</v>
      </c>
      <c r="AD17" s="27">
        <v>1.02</v>
      </c>
      <c r="AE17" s="80"/>
      <c r="AF17" s="87" t="s">
        <v>139</v>
      </c>
      <c r="AG17" s="88" t="s">
        <v>16</v>
      </c>
      <c r="AH17" s="89">
        <v>0.41</v>
      </c>
      <c r="AI17" s="80"/>
      <c r="AJ17" s="35"/>
      <c r="AK17" s="35"/>
      <c r="AL17" s="35"/>
    </row>
    <row r="18" spans="2:38" ht="29.25" thickBot="1" x14ac:dyDescent="0.3">
      <c r="B18" s="5">
        <v>14</v>
      </c>
      <c r="C18" s="6">
        <v>9.2898999999999998E-4</v>
      </c>
      <c r="E18" s="5">
        <v>14</v>
      </c>
      <c r="F18" s="6">
        <v>1.0996700000000001E-3</v>
      </c>
      <c r="H18" s="12">
        <v>1.9</v>
      </c>
      <c r="I18" s="6">
        <v>1.9489999999999999E-4</v>
      </c>
      <c r="K18" s="12">
        <v>1.9</v>
      </c>
      <c r="L18" s="6">
        <v>2.3609999999999999E-4</v>
      </c>
      <c r="N18" s="138" t="s">
        <v>68</v>
      </c>
      <c r="O18" s="134" t="s">
        <v>197</v>
      </c>
      <c r="P18" s="133" t="s">
        <v>271</v>
      </c>
      <c r="Q18" s="133" t="s">
        <v>19</v>
      </c>
      <c r="R18" s="133" t="s">
        <v>19</v>
      </c>
      <c r="S18" s="140" t="s">
        <v>183</v>
      </c>
      <c r="T18" s="132" t="s">
        <v>189</v>
      </c>
      <c r="V18" s="17" t="s">
        <v>68</v>
      </c>
      <c r="W18" s="17" t="s">
        <v>20</v>
      </c>
      <c r="X18" s="15">
        <v>9.8173870000000001</v>
      </c>
      <c r="Y18" s="15">
        <v>1.177486</v>
      </c>
      <c r="Z18" s="15">
        <v>-0.114174</v>
      </c>
      <c r="AA18" s="15">
        <v>0</v>
      </c>
      <c r="AC18" s="26">
        <v>21</v>
      </c>
      <c r="AD18" s="27">
        <v>1.02</v>
      </c>
      <c r="AE18" s="80"/>
      <c r="AF18" s="87" t="s">
        <v>144</v>
      </c>
      <c r="AG18" s="88" t="s">
        <v>93</v>
      </c>
      <c r="AH18" s="89">
        <v>0.33</v>
      </c>
      <c r="AI18" s="80"/>
      <c r="AJ18" s="35"/>
      <c r="AK18" s="35"/>
      <c r="AL18" s="35"/>
    </row>
    <row r="19" spans="2:38" ht="29.25" customHeight="1" thickBot="1" x14ac:dyDescent="0.3">
      <c r="B19" s="5">
        <v>15</v>
      </c>
      <c r="C19" s="6">
        <v>1.0696499999999999E-3</v>
      </c>
      <c r="E19" s="5">
        <v>15</v>
      </c>
      <c r="F19" s="6">
        <v>1.27059E-3</v>
      </c>
      <c r="H19" s="12">
        <v>2</v>
      </c>
      <c r="I19" s="6">
        <v>2.1680000000000001E-4</v>
      </c>
      <c r="K19" s="12">
        <v>2</v>
      </c>
      <c r="L19" s="6">
        <v>2.6259999999999999E-4</v>
      </c>
      <c r="N19" s="128" t="s">
        <v>68</v>
      </c>
      <c r="O19" s="36" t="s">
        <v>141</v>
      </c>
      <c r="P19" s="134" t="s">
        <v>13</v>
      </c>
      <c r="Q19" s="144" t="s">
        <v>13</v>
      </c>
      <c r="R19" s="134" t="s">
        <v>13</v>
      </c>
      <c r="S19" s="93" t="s">
        <v>141</v>
      </c>
      <c r="T19" s="129" t="s">
        <v>190</v>
      </c>
      <c r="V19" s="17" t="s">
        <v>68</v>
      </c>
      <c r="W19" s="17" t="s">
        <v>21</v>
      </c>
      <c r="X19" s="15">
        <v>8.2920300000000005</v>
      </c>
      <c r="Y19" s="15">
        <v>1.7711730000000001</v>
      </c>
      <c r="Z19" s="15">
        <v>-0.41650900000000002</v>
      </c>
      <c r="AA19" s="15">
        <v>0</v>
      </c>
      <c r="AC19" s="26">
        <v>22</v>
      </c>
      <c r="AD19" s="27">
        <v>1.01</v>
      </c>
      <c r="AE19" s="80"/>
      <c r="AF19" s="87" t="s">
        <v>145</v>
      </c>
      <c r="AG19" s="88" t="s">
        <v>94</v>
      </c>
      <c r="AH19" s="89">
        <v>0.38</v>
      </c>
      <c r="AI19" s="80"/>
      <c r="AJ19" s="35"/>
      <c r="AK19" s="35"/>
      <c r="AL19" s="35"/>
    </row>
    <row r="20" spans="2:38" ht="16.5" thickBot="1" x14ac:dyDescent="0.3">
      <c r="B20" s="5">
        <v>16</v>
      </c>
      <c r="C20" s="6">
        <v>1.2204500000000001E-3</v>
      </c>
      <c r="E20" s="5">
        <v>16</v>
      </c>
      <c r="F20" s="6">
        <v>1.4544499999999999E-3</v>
      </c>
      <c r="H20" s="12">
        <v>2.1</v>
      </c>
      <c r="I20" s="6">
        <v>2.4000000000000001E-4</v>
      </c>
      <c r="K20" s="12">
        <v>2.1</v>
      </c>
      <c r="L20" s="6">
        <v>2.9060000000000002E-4</v>
      </c>
      <c r="N20" s="128" t="s">
        <v>173</v>
      </c>
      <c r="O20" s="36" t="s">
        <v>159</v>
      </c>
      <c r="P20" s="134" t="s">
        <v>102</v>
      </c>
      <c r="Q20" s="134" t="s">
        <v>102</v>
      </c>
      <c r="R20" s="134" t="s">
        <v>102</v>
      </c>
      <c r="S20" s="137" t="s">
        <v>149</v>
      </c>
      <c r="T20" s="131" t="s">
        <v>191</v>
      </c>
      <c r="V20" s="17" t="s">
        <v>69</v>
      </c>
      <c r="W20" s="18" t="s">
        <v>74</v>
      </c>
      <c r="X20" s="16">
        <v>9.7613000000000003</v>
      </c>
      <c r="Y20" s="16">
        <v>1.5867</v>
      </c>
      <c r="Z20" s="16">
        <v>-5.6966000000000003E-2</v>
      </c>
      <c r="AA20" s="16">
        <v>-3.3866999999999999E-3</v>
      </c>
      <c r="AC20" s="26">
        <v>23</v>
      </c>
      <c r="AD20" s="27">
        <v>1.01</v>
      </c>
      <c r="AE20" s="80"/>
      <c r="AF20" s="87" t="s">
        <v>158</v>
      </c>
      <c r="AG20" s="88" t="s">
        <v>101</v>
      </c>
      <c r="AH20" s="89">
        <v>0.44</v>
      </c>
      <c r="AI20" s="80"/>
      <c r="AJ20" s="35"/>
      <c r="AK20" s="35"/>
      <c r="AL20" s="35"/>
    </row>
    <row r="21" spans="2:38" ht="16.5" thickBot="1" x14ac:dyDescent="0.3">
      <c r="B21" s="5">
        <v>17</v>
      </c>
      <c r="C21" s="6">
        <v>1.3814299999999999E-3</v>
      </c>
      <c r="E21" s="5">
        <v>17</v>
      </c>
      <c r="F21" s="6">
        <v>1.65132E-3</v>
      </c>
      <c r="H21" s="12">
        <v>2.2000000000000002</v>
      </c>
      <c r="I21" s="6">
        <v>2.6449999999999998E-4</v>
      </c>
      <c r="K21" s="12">
        <v>2.2000000000000002</v>
      </c>
      <c r="L21" s="6">
        <v>3.2019999999999998E-4</v>
      </c>
      <c r="N21" s="138" t="s">
        <v>68</v>
      </c>
      <c r="O21" s="134" t="s">
        <v>261</v>
      </c>
      <c r="P21" s="133" t="s">
        <v>271</v>
      </c>
      <c r="Q21" s="135" t="s">
        <v>19</v>
      </c>
      <c r="R21" s="135" t="s">
        <v>19</v>
      </c>
      <c r="S21" s="93" t="s">
        <v>183</v>
      </c>
      <c r="T21" s="41" t="s">
        <v>136</v>
      </c>
      <c r="V21" s="17" t="s">
        <v>68</v>
      </c>
      <c r="W21" s="17" t="s">
        <v>22</v>
      </c>
      <c r="X21" s="15">
        <v>8.7625109999999999</v>
      </c>
      <c r="Y21" s="15">
        <v>1.95923</v>
      </c>
      <c r="Z21" s="15">
        <v>-0.58627499999999999</v>
      </c>
      <c r="AA21" s="15">
        <v>0</v>
      </c>
      <c r="AC21" s="26">
        <v>24</v>
      </c>
      <c r="AD21" s="27">
        <v>1.01</v>
      </c>
      <c r="AE21" s="80"/>
      <c r="AF21" s="87" t="s">
        <v>132</v>
      </c>
      <c r="AG21" s="88" t="s">
        <v>17</v>
      </c>
      <c r="AH21" s="89">
        <v>0.39</v>
      </c>
      <c r="AI21" s="80"/>
      <c r="AJ21" s="35"/>
      <c r="AK21" s="35"/>
      <c r="AL21" s="35"/>
    </row>
    <row r="22" spans="2:38" ht="16.5" thickBot="1" x14ac:dyDescent="0.3">
      <c r="B22" s="5">
        <v>18</v>
      </c>
      <c r="C22" s="6">
        <v>1.5525999999999999E-3</v>
      </c>
      <c r="E22" s="5">
        <v>18</v>
      </c>
      <c r="F22" s="6">
        <v>1.86129E-3</v>
      </c>
      <c r="H22" s="12">
        <v>2.2999999999999998</v>
      </c>
      <c r="I22" s="6">
        <v>2.9030000000000001E-4</v>
      </c>
      <c r="K22" s="12">
        <v>2.2999999999999998</v>
      </c>
      <c r="L22" s="6">
        <v>3.5129999999999997E-4</v>
      </c>
      <c r="N22" s="38" t="s">
        <v>173</v>
      </c>
      <c r="O22" s="134" t="s">
        <v>165</v>
      </c>
      <c r="P22" s="121" t="s">
        <v>120</v>
      </c>
      <c r="Q22" s="142" t="s">
        <v>102</v>
      </c>
      <c r="R22" s="121" t="s">
        <v>102</v>
      </c>
      <c r="S22" s="93" t="s">
        <v>149</v>
      </c>
      <c r="T22" s="76" t="s">
        <v>191</v>
      </c>
      <c r="V22" s="17" t="s">
        <v>68</v>
      </c>
      <c r="W22" s="17" t="s">
        <v>23</v>
      </c>
      <c r="X22" s="15">
        <v>10.637312</v>
      </c>
      <c r="Y22" s="15">
        <v>1.7353829999999999</v>
      </c>
      <c r="Z22" s="15">
        <v>-0.63055099999999997</v>
      </c>
      <c r="AA22" s="15">
        <v>0</v>
      </c>
      <c r="AC22" s="26">
        <v>25</v>
      </c>
      <c r="AD22" s="27">
        <v>1.01</v>
      </c>
      <c r="AE22" s="80"/>
      <c r="AF22" s="87" t="s">
        <v>133</v>
      </c>
      <c r="AG22" s="88" t="s">
        <v>88</v>
      </c>
      <c r="AH22" s="89">
        <v>0.41</v>
      </c>
      <c r="AI22" s="80"/>
    </row>
    <row r="23" spans="2:38" ht="15.75" thickBot="1" x14ac:dyDescent="0.3">
      <c r="B23" s="5">
        <v>19</v>
      </c>
      <c r="C23" s="6">
        <v>1.7339899999999999E-3</v>
      </c>
      <c r="E23" s="5">
        <v>19</v>
      </c>
      <c r="F23" s="6">
        <v>2.0844100000000001E-3</v>
      </c>
      <c r="H23" s="12">
        <v>2.4</v>
      </c>
      <c r="I23" s="6">
        <v>3.1740000000000002E-4</v>
      </c>
      <c r="K23" s="12">
        <v>2.4</v>
      </c>
      <c r="L23" s="6">
        <v>3.8400000000000001E-4</v>
      </c>
      <c r="N23" s="94" t="s">
        <v>69</v>
      </c>
      <c r="O23" s="92" t="s">
        <v>205</v>
      </c>
      <c r="P23" s="135" t="s">
        <v>313</v>
      </c>
      <c r="Q23" s="122" t="s">
        <v>74</v>
      </c>
      <c r="R23" s="122" t="s">
        <v>74</v>
      </c>
      <c r="S23" s="140" t="s">
        <v>149</v>
      </c>
      <c r="T23" s="131" t="s">
        <v>191</v>
      </c>
      <c r="AC23" s="26">
        <v>26</v>
      </c>
      <c r="AD23" s="27">
        <v>1.01</v>
      </c>
      <c r="AE23" s="80"/>
      <c r="AF23" s="87" t="s">
        <v>147</v>
      </c>
      <c r="AG23" s="88" t="s">
        <v>18</v>
      </c>
      <c r="AH23" s="89">
        <v>0.31</v>
      </c>
      <c r="AI23" s="80"/>
    </row>
    <row r="24" spans="2:38" ht="16.5" thickBot="1" x14ac:dyDescent="0.3">
      <c r="B24" s="5">
        <v>20</v>
      </c>
      <c r="C24" s="6">
        <v>1.9256399999999999E-3</v>
      </c>
      <c r="E24" s="5">
        <v>20</v>
      </c>
      <c r="F24" s="6">
        <v>2.3207700000000002E-3</v>
      </c>
      <c r="H24" s="12">
        <v>2.5</v>
      </c>
      <c r="I24" s="6">
        <v>3.4590000000000001E-4</v>
      </c>
      <c r="K24" s="12">
        <v>2.5</v>
      </c>
      <c r="L24" s="6">
        <v>4.1839999999999998E-4</v>
      </c>
      <c r="N24" s="38" t="s">
        <v>68</v>
      </c>
      <c r="O24" s="36" t="s">
        <v>138</v>
      </c>
      <c r="P24" s="121" t="s">
        <v>14</v>
      </c>
      <c r="Q24" s="144" t="s">
        <v>14</v>
      </c>
      <c r="R24" s="121" t="s">
        <v>14</v>
      </c>
      <c r="S24" s="93" t="s">
        <v>182</v>
      </c>
      <c r="T24" s="129" t="s">
        <v>190</v>
      </c>
      <c r="AC24" s="26">
        <v>27</v>
      </c>
      <c r="AD24" s="27">
        <v>1.01</v>
      </c>
      <c r="AE24" s="80"/>
      <c r="AF24" s="87" t="s">
        <v>136</v>
      </c>
      <c r="AG24" s="88" t="s">
        <v>19</v>
      </c>
      <c r="AH24" s="89">
        <v>0.33</v>
      </c>
      <c r="AI24" s="80"/>
    </row>
    <row r="25" spans="2:38" ht="15.75" thickBot="1" x14ac:dyDescent="0.3">
      <c r="B25" s="5">
        <v>21</v>
      </c>
      <c r="C25" s="6">
        <v>2.1275500000000002E-3</v>
      </c>
      <c r="E25" s="5">
        <v>21</v>
      </c>
      <c r="F25" s="6">
        <v>2.5704199999999999E-3</v>
      </c>
      <c r="H25" s="12">
        <v>2.6</v>
      </c>
      <c r="I25" s="6">
        <v>3.7570000000000002E-4</v>
      </c>
      <c r="K25" s="12">
        <v>2.6</v>
      </c>
      <c r="L25" s="6">
        <v>4.5429999999999998E-4</v>
      </c>
      <c r="N25" s="128" t="s">
        <v>68</v>
      </c>
      <c r="O25" s="36" t="s">
        <v>284</v>
      </c>
      <c r="P25" s="134" t="s">
        <v>95</v>
      </c>
      <c r="Q25" s="134" t="s">
        <v>18</v>
      </c>
      <c r="R25" s="134" t="s">
        <v>95</v>
      </c>
      <c r="S25" s="137" t="s">
        <v>130</v>
      </c>
      <c r="T25" s="132" t="s">
        <v>189</v>
      </c>
      <c r="AC25" s="26">
        <v>28</v>
      </c>
      <c r="AD25" s="27">
        <v>1.01</v>
      </c>
      <c r="AE25" s="80"/>
      <c r="AF25" s="87" t="s">
        <v>149</v>
      </c>
      <c r="AG25" s="88" t="s">
        <v>70</v>
      </c>
      <c r="AH25" s="89">
        <v>0.56000000000000005</v>
      </c>
      <c r="AI25" s="80"/>
    </row>
    <row r="26" spans="2:38" ht="29.25" thickBot="1" x14ac:dyDescent="0.3">
      <c r="B26" s="5">
        <v>22</v>
      </c>
      <c r="C26" s="6">
        <v>2.3397600000000002E-3</v>
      </c>
      <c r="E26" s="5">
        <v>22</v>
      </c>
      <c r="F26" s="6">
        <v>2.8334300000000001E-3</v>
      </c>
      <c r="H26" s="12">
        <v>2.7</v>
      </c>
      <c r="I26" s="6">
        <v>4.0690000000000002E-4</v>
      </c>
      <c r="K26" s="12">
        <v>2.7</v>
      </c>
      <c r="L26" s="6">
        <v>4.9200000000000003E-4</v>
      </c>
      <c r="N26" s="138" t="s">
        <v>69</v>
      </c>
      <c r="O26" s="134" t="s">
        <v>255</v>
      </c>
      <c r="P26" s="133" t="s">
        <v>111</v>
      </c>
      <c r="Q26" s="135" t="s">
        <v>74</v>
      </c>
      <c r="R26" s="133" t="s">
        <v>74</v>
      </c>
      <c r="S26" s="140" t="s">
        <v>151</v>
      </c>
      <c r="T26" s="131" t="s">
        <v>191</v>
      </c>
      <c r="AC26" s="26">
        <v>29</v>
      </c>
      <c r="AD26" s="27">
        <v>1.01</v>
      </c>
      <c r="AE26" s="80"/>
      <c r="AF26" s="87" t="s">
        <v>137</v>
      </c>
      <c r="AG26" s="88" t="s">
        <v>90</v>
      </c>
      <c r="AH26" s="89">
        <v>0.33</v>
      </c>
      <c r="AI26" s="80"/>
    </row>
    <row r="27" spans="2:38" ht="16.5" thickBot="1" x14ac:dyDescent="0.3">
      <c r="B27" s="5">
        <v>23</v>
      </c>
      <c r="C27" s="6">
        <v>2.5622900000000001E-3</v>
      </c>
      <c r="E27" s="5">
        <v>23</v>
      </c>
      <c r="F27" s="6">
        <v>3.1098499999999999E-3</v>
      </c>
      <c r="H27" s="12">
        <v>2.8</v>
      </c>
      <c r="I27" s="6">
        <v>4.395E-4</v>
      </c>
      <c r="K27" s="12">
        <v>2.8</v>
      </c>
      <c r="L27" s="6">
        <v>5.3129999999999996E-4</v>
      </c>
      <c r="N27" s="128" t="s">
        <v>68</v>
      </c>
      <c r="O27" s="36" t="s">
        <v>146</v>
      </c>
      <c r="P27" s="134" t="s">
        <v>15</v>
      </c>
      <c r="Q27" s="144" t="s">
        <v>15</v>
      </c>
      <c r="R27" s="134" t="s">
        <v>15</v>
      </c>
      <c r="S27" s="137" t="s">
        <v>183</v>
      </c>
      <c r="T27" s="132" t="s">
        <v>189</v>
      </c>
      <c r="AC27" s="26">
        <v>30</v>
      </c>
      <c r="AD27" s="27">
        <v>1.01</v>
      </c>
      <c r="AE27" s="80"/>
      <c r="AF27" s="87" t="s">
        <v>155</v>
      </c>
      <c r="AG27" s="88" t="s">
        <v>73</v>
      </c>
      <c r="AH27" s="89">
        <v>0.35</v>
      </c>
      <c r="AI27" s="80"/>
    </row>
    <row r="28" spans="2:38" ht="29.25" thickBot="1" x14ac:dyDescent="0.3">
      <c r="B28" s="5">
        <v>24</v>
      </c>
      <c r="C28" s="6">
        <v>2.7951600000000001E-3</v>
      </c>
      <c r="E28" s="5">
        <v>24</v>
      </c>
      <c r="F28" s="6">
        <v>3.39975E-3</v>
      </c>
      <c r="H28" s="12">
        <v>2.9</v>
      </c>
      <c r="I28" s="6">
        <v>4.7360000000000002E-4</v>
      </c>
      <c r="K28" s="12">
        <v>2.9</v>
      </c>
      <c r="L28" s="6">
        <v>5.7240000000000004E-4</v>
      </c>
      <c r="N28" s="38" t="s">
        <v>173</v>
      </c>
      <c r="O28" s="134" t="s">
        <v>324</v>
      </c>
      <c r="P28" s="121" t="s">
        <v>116</v>
      </c>
      <c r="Q28" s="134" t="s">
        <v>72</v>
      </c>
      <c r="R28" s="121" t="s">
        <v>100</v>
      </c>
      <c r="S28" s="93" t="s">
        <v>149</v>
      </c>
      <c r="T28" s="131" t="s">
        <v>191</v>
      </c>
      <c r="AC28" s="26">
        <v>31</v>
      </c>
      <c r="AD28" s="27">
        <v>1.01</v>
      </c>
      <c r="AE28" s="80"/>
      <c r="AF28" s="87" t="s">
        <v>143</v>
      </c>
      <c r="AG28" s="88" t="s">
        <v>92</v>
      </c>
      <c r="AH28" s="89">
        <v>0.31</v>
      </c>
      <c r="AI28" s="80"/>
    </row>
    <row r="29" spans="2:38" ht="15.75" thickBot="1" x14ac:dyDescent="0.3">
      <c r="B29" s="5">
        <v>25</v>
      </c>
      <c r="C29" s="6">
        <v>3.0383900000000002E-3</v>
      </c>
      <c r="E29" s="5">
        <v>25</v>
      </c>
      <c r="F29" s="6">
        <v>3.70317E-3</v>
      </c>
      <c r="H29" s="12">
        <v>3</v>
      </c>
      <c r="I29" s="6">
        <v>5.0900000000000001E-4</v>
      </c>
      <c r="K29" s="12">
        <v>3</v>
      </c>
      <c r="L29" s="6">
        <v>6.1519999999999999E-4</v>
      </c>
      <c r="N29" s="38" t="s">
        <v>173</v>
      </c>
      <c r="O29" s="103" t="s">
        <v>256</v>
      </c>
      <c r="P29" s="121" t="s">
        <v>113</v>
      </c>
      <c r="Q29" s="121" t="s">
        <v>72</v>
      </c>
      <c r="R29" s="121" t="s">
        <v>100</v>
      </c>
      <c r="S29" s="93" t="s">
        <v>149</v>
      </c>
      <c r="T29" s="76" t="s">
        <v>191</v>
      </c>
      <c r="AC29" s="26">
        <v>32</v>
      </c>
      <c r="AD29" s="27">
        <v>1.01</v>
      </c>
      <c r="AE29" s="80"/>
      <c r="AF29" s="87" t="s">
        <v>150</v>
      </c>
      <c r="AG29" s="88" t="s">
        <v>96</v>
      </c>
      <c r="AH29" s="89">
        <v>0.56999999999999995</v>
      </c>
      <c r="AI29" s="80"/>
    </row>
    <row r="30" spans="2:38" ht="15.75" thickBot="1" x14ac:dyDescent="0.3">
      <c r="B30" s="7">
        <v>26</v>
      </c>
      <c r="C30" s="8">
        <v>3.2919899999999998E-3</v>
      </c>
      <c r="E30" s="7">
        <v>26</v>
      </c>
      <c r="F30" s="8">
        <v>4.02017E-3</v>
      </c>
      <c r="H30" s="12">
        <v>3.1</v>
      </c>
      <c r="I30" s="6">
        <v>5.4600000000000004E-4</v>
      </c>
      <c r="K30" s="12">
        <v>3.1</v>
      </c>
      <c r="L30" s="6">
        <v>6.5979999999999999E-4</v>
      </c>
      <c r="N30" s="94" t="s">
        <v>69</v>
      </c>
      <c r="O30" s="92" t="s">
        <v>206</v>
      </c>
      <c r="P30" s="122" t="s">
        <v>111</v>
      </c>
      <c r="Q30" s="122" t="s">
        <v>72</v>
      </c>
      <c r="R30" s="122" t="s">
        <v>70</v>
      </c>
      <c r="S30" s="97" t="s">
        <v>149</v>
      </c>
      <c r="T30" s="76" t="s">
        <v>191</v>
      </c>
      <c r="AC30" s="26">
        <v>33</v>
      </c>
      <c r="AD30" s="27">
        <v>1</v>
      </c>
      <c r="AE30" s="80"/>
      <c r="AF30" s="87" t="s">
        <v>156</v>
      </c>
      <c r="AG30" s="88" t="s">
        <v>98</v>
      </c>
      <c r="AH30" s="89">
        <v>0.44</v>
      </c>
      <c r="AI30" s="80"/>
    </row>
    <row r="31" spans="2:38" ht="15.75" thickBot="1" x14ac:dyDescent="0.3">
      <c r="B31" s="5">
        <v>27</v>
      </c>
      <c r="C31" s="6">
        <v>3.5559900000000002E-3</v>
      </c>
      <c r="E31" s="5">
        <v>27</v>
      </c>
      <c r="F31" s="6">
        <v>4.3508100000000001E-3</v>
      </c>
      <c r="H31" s="12">
        <v>3.2</v>
      </c>
      <c r="I31" s="6">
        <v>5.8449999999999995E-4</v>
      </c>
      <c r="K31" s="12">
        <v>3.2</v>
      </c>
      <c r="L31" s="6">
        <v>7.0620000000000004E-4</v>
      </c>
      <c r="N31" s="94" t="s">
        <v>69</v>
      </c>
      <c r="O31" s="92" t="s">
        <v>207</v>
      </c>
      <c r="P31" s="122" t="s">
        <v>111</v>
      </c>
      <c r="Q31" s="122" t="s">
        <v>72</v>
      </c>
      <c r="R31" s="122" t="s">
        <v>74</v>
      </c>
      <c r="S31" s="97" t="s">
        <v>149</v>
      </c>
      <c r="T31" s="76" t="s">
        <v>191</v>
      </c>
      <c r="AC31" s="26">
        <v>34</v>
      </c>
      <c r="AD31" s="27">
        <v>1</v>
      </c>
      <c r="AE31" s="80"/>
      <c r="AF31" s="87" t="s">
        <v>130</v>
      </c>
      <c r="AG31" s="88" t="s">
        <v>20</v>
      </c>
      <c r="AH31" s="89">
        <v>0.42</v>
      </c>
      <c r="AI31" s="80"/>
    </row>
    <row r="32" spans="2:38" ht="15.75" thickBot="1" x14ac:dyDescent="0.3">
      <c r="B32" s="5">
        <v>28</v>
      </c>
      <c r="C32" s="6">
        <v>3.8304099999999998E-3</v>
      </c>
      <c r="E32" s="5">
        <v>28</v>
      </c>
      <c r="F32" s="6">
        <v>4.6951199999999997E-3</v>
      </c>
      <c r="H32" s="12">
        <v>3.3</v>
      </c>
      <c r="I32" s="6">
        <v>6.2449999999999995E-4</v>
      </c>
      <c r="K32" s="12">
        <v>3.3</v>
      </c>
      <c r="L32" s="6">
        <v>7.5449999999999996E-4</v>
      </c>
      <c r="N32" s="94" t="s">
        <v>69</v>
      </c>
      <c r="O32" s="92" t="s">
        <v>175</v>
      </c>
      <c r="P32" s="122" t="s">
        <v>111</v>
      </c>
      <c r="Q32" s="122" t="s">
        <v>74</v>
      </c>
      <c r="R32" s="122" t="s">
        <v>74</v>
      </c>
      <c r="S32" s="93" t="s">
        <v>151</v>
      </c>
      <c r="T32" s="76" t="s">
        <v>191</v>
      </c>
      <c r="AC32" s="28">
        <v>35</v>
      </c>
      <c r="AD32" s="29">
        <v>1</v>
      </c>
      <c r="AE32" s="81"/>
      <c r="AF32" s="87" t="s">
        <v>135</v>
      </c>
      <c r="AG32" s="88" t="s">
        <v>21</v>
      </c>
      <c r="AH32" s="89">
        <v>0.33</v>
      </c>
      <c r="AI32" s="81"/>
    </row>
    <row r="33" spans="2:35" ht="15.75" thickBot="1" x14ac:dyDescent="0.3">
      <c r="B33" s="5">
        <v>29</v>
      </c>
      <c r="C33" s="6">
        <v>4.1152599999999999E-3</v>
      </c>
      <c r="E33" s="5">
        <v>29</v>
      </c>
      <c r="F33" s="6">
        <v>5.0531700000000001E-3</v>
      </c>
      <c r="H33" s="12">
        <v>3.4</v>
      </c>
      <c r="I33" s="6">
        <v>6.6609999999999998E-4</v>
      </c>
      <c r="K33" s="12">
        <v>3.4</v>
      </c>
      <c r="L33" s="6">
        <v>8.0460000000000004E-4</v>
      </c>
      <c r="N33" s="38" t="s">
        <v>173</v>
      </c>
      <c r="O33" s="36" t="s">
        <v>161</v>
      </c>
      <c r="P33" s="121" t="s">
        <v>104</v>
      </c>
      <c r="Q33" s="121" t="s">
        <v>71</v>
      </c>
      <c r="R33" s="121" t="s">
        <v>104</v>
      </c>
      <c r="S33" s="93" t="s">
        <v>151</v>
      </c>
      <c r="T33" s="76" t="s">
        <v>191</v>
      </c>
      <c r="AC33" s="28">
        <v>36</v>
      </c>
      <c r="AD33" s="29">
        <v>1</v>
      </c>
      <c r="AE33" s="81"/>
      <c r="AF33" s="87" t="s">
        <v>152</v>
      </c>
      <c r="AG33" s="88" t="s">
        <v>74</v>
      </c>
      <c r="AH33" s="89">
        <v>0.49</v>
      </c>
      <c r="AI33" s="81"/>
    </row>
    <row r="34" spans="2:35" ht="15.75" thickBot="1" x14ac:dyDescent="0.3">
      <c r="B34" s="5">
        <v>30</v>
      </c>
      <c r="C34" s="6">
        <v>4.4105699999999999E-3</v>
      </c>
      <c r="E34" s="5">
        <v>30</v>
      </c>
      <c r="F34" s="6">
        <v>5.4249800000000003E-3</v>
      </c>
      <c r="H34" s="12">
        <v>3.5</v>
      </c>
      <c r="I34" s="6">
        <v>7.0929999999999995E-4</v>
      </c>
      <c r="K34" s="12">
        <v>3.5</v>
      </c>
      <c r="L34" s="6">
        <v>8.5669999999999995E-4</v>
      </c>
      <c r="N34" s="38" t="s">
        <v>173</v>
      </c>
      <c r="O34" s="36" t="s">
        <v>157</v>
      </c>
      <c r="P34" s="121" t="s">
        <v>99</v>
      </c>
      <c r="Q34" s="121" t="s">
        <v>74</v>
      </c>
      <c r="R34" s="121" t="s">
        <v>99</v>
      </c>
      <c r="S34" s="93" t="s">
        <v>149</v>
      </c>
      <c r="T34" s="76" t="s">
        <v>191</v>
      </c>
      <c r="AC34" s="28">
        <v>37</v>
      </c>
      <c r="AD34" s="29">
        <v>1</v>
      </c>
      <c r="AE34" s="81"/>
      <c r="AF34" s="87" t="s">
        <v>276</v>
      </c>
      <c r="AG34" s="88" t="s">
        <v>103</v>
      </c>
      <c r="AH34" s="89">
        <v>0.5</v>
      </c>
      <c r="AI34" s="81"/>
    </row>
    <row r="35" spans="2:35" ht="15.75" thickBot="1" x14ac:dyDescent="0.3">
      <c r="B35" s="5">
        <v>31</v>
      </c>
      <c r="C35" s="6">
        <v>4.7163400000000003E-3</v>
      </c>
      <c r="E35" s="5">
        <v>31</v>
      </c>
      <c r="F35" s="6">
        <v>5.8106199999999998E-3</v>
      </c>
      <c r="H35" s="12">
        <v>3.6</v>
      </c>
      <c r="I35" s="6">
        <v>7.5409999999999995E-4</v>
      </c>
      <c r="K35" s="12">
        <v>3.6</v>
      </c>
      <c r="L35" s="6">
        <v>9.1080000000000002E-4</v>
      </c>
      <c r="N35" s="38" t="s">
        <v>68</v>
      </c>
      <c r="O35" s="36" t="s">
        <v>140</v>
      </c>
      <c r="P35" s="121" t="s">
        <v>91</v>
      </c>
      <c r="Q35" s="121" t="s">
        <v>91</v>
      </c>
      <c r="R35" s="121" t="s">
        <v>91</v>
      </c>
      <c r="S35" s="93" t="s">
        <v>182</v>
      </c>
      <c r="T35" s="41" t="s">
        <v>190</v>
      </c>
      <c r="AC35" s="28">
        <v>38</v>
      </c>
      <c r="AD35" s="29">
        <v>1</v>
      </c>
      <c r="AE35" s="81"/>
      <c r="AF35" s="87" t="s">
        <v>134</v>
      </c>
      <c r="AG35" s="88" t="s">
        <v>89</v>
      </c>
      <c r="AH35" s="89">
        <v>0.28999999999999998</v>
      </c>
      <c r="AI35" s="81"/>
    </row>
    <row r="36" spans="2:35" ht="29.25" thickBot="1" x14ac:dyDescent="0.3">
      <c r="B36" s="5">
        <v>32</v>
      </c>
      <c r="C36" s="6">
        <v>5.03259E-3</v>
      </c>
      <c r="E36" s="5">
        <v>32</v>
      </c>
      <c r="F36" s="6">
        <v>6.2101200000000004E-3</v>
      </c>
      <c r="H36" s="12">
        <v>3.7</v>
      </c>
      <c r="I36" s="6">
        <v>8.0060000000000005E-4</v>
      </c>
      <c r="K36" s="12">
        <v>3.7</v>
      </c>
      <c r="L36" s="6">
        <v>9.6690000000000003E-4</v>
      </c>
      <c r="N36" s="94" t="s">
        <v>69</v>
      </c>
      <c r="O36" s="92" t="s">
        <v>258</v>
      </c>
      <c r="P36" s="120" t="s">
        <v>314</v>
      </c>
      <c r="Q36" s="122" t="s">
        <v>72</v>
      </c>
      <c r="R36" s="120" t="s">
        <v>100</v>
      </c>
      <c r="S36" s="97" t="s">
        <v>149</v>
      </c>
      <c r="T36" s="76" t="s">
        <v>191</v>
      </c>
      <c r="AC36" s="28">
        <v>39</v>
      </c>
      <c r="AD36" s="29">
        <v>1</v>
      </c>
      <c r="AE36" s="81"/>
      <c r="AF36" s="87" t="s">
        <v>142</v>
      </c>
      <c r="AG36" s="88" t="s">
        <v>22</v>
      </c>
      <c r="AH36" s="89">
        <v>0.36</v>
      </c>
      <c r="AI36" s="81"/>
    </row>
    <row r="37" spans="2:35" ht="16.5" thickBot="1" x14ac:dyDescent="0.3">
      <c r="B37" s="5">
        <v>33</v>
      </c>
      <c r="C37" s="6">
        <v>5.3593499999999997E-3</v>
      </c>
      <c r="E37" s="5">
        <v>33</v>
      </c>
      <c r="F37" s="6">
        <v>6.6235299999999999E-3</v>
      </c>
      <c r="H37" s="13">
        <v>3.8</v>
      </c>
      <c r="I37" s="10">
        <v>8.4880000000000003E-4</v>
      </c>
      <c r="K37" s="13">
        <v>3.8</v>
      </c>
      <c r="L37" s="10">
        <v>1.0250000000000001E-3</v>
      </c>
      <c r="N37" s="38" t="s">
        <v>68</v>
      </c>
      <c r="O37" s="36" t="s">
        <v>139</v>
      </c>
      <c r="P37" s="121" t="s">
        <v>16</v>
      </c>
      <c r="Q37" s="125" t="s">
        <v>16</v>
      </c>
      <c r="R37" s="121" t="s">
        <v>16</v>
      </c>
      <c r="S37" s="93" t="s">
        <v>182</v>
      </c>
      <c r="T37" s="41" t="s">
        <v>190</v>
      </c>
      <c r="AC37" s="28">
        <v>40</v>
      </c>
      <c r="AD37" s="29">
        <v>1</v>
      </c>
      <c r="AE37" s="81"/>
      <c r="AF37" s="87" t="s">
        <v>327</v>
      </c>
      <c r="AG37" s="146" t="s">
        <v>317</v>
      </c>
      <c r="AH37" s="89">
        <v>0.37</v>
      </c>
      <c r="AI37" s="81"/>
    </row>
    <row r="38" spans="2:35" ht="15.75" thickBot="1" x14ac:dyDescent="0.3">
      <c r="B38" s="5">
        <v>34</v>
      </c>
      <c r="C38" s="6">
        <v>5.6966300000000003E-3</v>
      </c>
      <c r="E38" s="5">
        <v>34</v>
      </c>
      <c r="F38" s="6">
        <v>7.0508799999999998E-3</v>
      </c>
      <c r="H38" s="12">
        <v>3.9</v>
      </c>
      <c r="I38" s="11">
        <v>8.987E-4</v>
      </c>
      <c r="K38" s="12">
        <v>3.9</v>
      </c>
      <c r="L38" s="11">
        <v>1.0853E-3</v>
      </c>
      <c r="N38" s="38" t="s">
        <v>68</v>
      </c>
      <c r="O38" s="92" t="s">
        <v>122</v>
      </c>
      <c r="P38" s="121" t="s">
        <v>84</v>
      </c>
      <c r="Q38" s="121" t="s">
        <v>92</v>
      </c>
      <c r="R38" s="124" t="s">
        <v>92</v>
      </c>
      <c r="S38" s="93" t="s">
        <v>183</v>
      </c>
      <c r="T38" s="96" t="s">
        <v>188</v>
      </c>
      <c r="AC38" s="28">
        <v>41</v>
      </c>
      <c r="AD38" s="29">
        <v>1</v>
      </c>
      <c r="AE38" s="81"/>
      <c r="AF38" s="90" t="s">
        <v>86</v>
      </c>
      <c r="AG38" s="145" t="s">
        <v>321</v>
      </c>
      <c r="AH38" s="91">
        <v>0.5</v>
      </c>
      <c r="AI38" s="81"/>
    </row>
    <row r="39" spans="2:35" ht="15.75" thickBot="1" x14ac:dyDescent="0.3">
      <c r="B39" s="5">
        <v>35</v>
      </c>
      <c r="C39" s="6">
        <v>6.0444399999999999E-3</v>
      </c>
      <c r="E39" s="5">
        <v>35</v>
      </c>
      <c r="F39" s="6">
        <v>7.49222E-3</v>
      </c>
      <c r="H39" s="12">
        <v>4</v>
      </c>
      <c r="I39" s="11">
        <v>9.5040000000000001E-4</v>
      </c>
      <c r="K39" s="12">
        <v>4</v>
      </c>
      <c r="L39" s="11">
        <v>1.1477E-3</v>
      </c>
      <c r="N39" s="94" t="s">
        <v>68</v>
      </c>
      <c r="O39" s="92" t="s">
        <v>199</v>
      </c>
      <c r="P39" s="120" t="s">
        <v>271</v>
      </c>
      <c r="Q39" s="120" t="s">
        <v>19</v>
      </c>
      <c r="R39" s="120" t="s">
        <v>19</v>
      </c>
      <c r="S39" s="97" t="s">
        <v>183</v>
      </c>
      <c r="T39" s="96" t="s">
        <v>188</v>
      </c>
      <c r="AC39" s="28">
        <v>42</v>
      </c>
      <c r="AD39" s="29">
        <v>1</v>
      </c>
      <c r="AE39" s="81"/>
      <c r="AF39" s="81"/>
      <c r="AG39" s="81"/>
      <c r="AH39" s="81"/>
      <c r="AI39" s="81"/>
    </row>
    <row r="40" spans="2:35" ht="15.75" thickBot="1" x14ac:dyDescent="0.3">
      <c r="B40" s="5">
        <v>36</v>
      </c>
      <c r="C40" s="6">
        <v>6.4027900000000002E-3</v>
      </c>
      <c r="E40" s="5">
        <v>36</v>
      </c>
      <c r="F40" s="6">
        <v>7.9475899999999992E-3</v>
      </c>
      <c r="H40" s="12">
        <v>4.0999999999999996</v>
      </c>
      <c r="I40" s="11">
        <v>1.0039000000000001E-3</v>
      </c>
      <c r="K40" s="12">
        <v>4.0999999999999996</v>
      </c>
      <c r="L40" s="11">
        <v>1.2122999999999999E-3</v>
      </c>
      <c r="N40" s="38" t="s">
        <v>173</v>
      </c>
      <c r="O40" s="92" t="s">
        <v>163</v>
      </c>
      <c r="P40" s="121" t="s">
        <v>119</v>
      </c>
      <c r="Q40" s="121" t="s">
        <v>74</v>
      </c>
      <c r="R40" s="121" t="s">
        <v>101</v>
      </c>
      <c r="S40" s="93" t="s">
        <v>149</v>
      </c>
      <c r="T40" s="76" t="s">
        <v>191</v>
      </c>
      <c r="AC40" s="28">
        <v>43</v>
      </c>
      <c r="AD40" s="29">
        <v>1</v>
      </c>
      <c r="AE40" s="81"/>
      <c r="AF40" s="81"/>
      <c r="AG40" s="81"/>
      <c r="AH40" s="81"/>
      <c r="AI40" s="81"/>
    </row>
    <row r="41" spans="2:35" ht="15.75" thickBot="1" x14ac:dyDescent="0.3">
      <c r="B41" s="5">
        <v>37</v>
      </c>
      <c r="C41" s="6">
        <v>6.7717100000000002E-3</v>
      </c>
      <c r="E41" s="5">
        <v>37</v>
      </c>
      <c r="F41" s="6">
        <v>8.4170200000000008E-3</v>
      </c>
      <c r="H41" s="12">
        <v>4.2</v>
      </c>
      <c r="I41" s="11">
        <v>1.0593E-3</v>
      </c>
      <c r="K41" s="12">
        <v>4.2</v>
      </c>
      <c r="L41" s="11">
        <v>1.2792000000000001E-3</v>
      </c>
      <c r="N41" s="38" t="s">
        <v>68</v>
      </c>
      <c r="O41" s="36" t="s">
        <v>144</v>
      </c>
      <c r="P41" s="121" t="s">
        <v>93</v>
      </c>
      <c r="Q41" s="121" t="s">
        <v>92</v>
      </c>
      <c r="R41" s="121" t="s">
        <v>93</v>
      </c>
      <c r="S41" s="93" t="s">
        <v>183</v>
      </c>
      <c r="T41" s="96" t="s">
        <v>188</v>
      </c>
      <c r="AC41" s="28">
        <v>44</v>
      </c>
      <c r="AD41" s="29">
        <v>1</v>
      </c>
      <c r="AE41" s="81"/>
      <c r="AF41" s="81"/>
      <c r="AG41" s="81"/>
      <c r="AH41" s="81"/>
      <c r="AI41" s="81"/>
    </row>
    <row r="42" spans="2:35" ht="15.75" thickBot="1" x14ac:dyDescent="0.3">
      <c r="B42" s="5">
        <v>38</v>
      </c>
      <c r="C42" s="6">
        <v>7.1512099999999999E-3</v>
      </c>
      <c r="E42" s="5">
        <v>38</v>
      </c>
      <c r="F42" s="6">
        <v>8.9005600000000001E-3</v>
      </c>
      <c r="H42" s="12">
        <v>4.3</v>
      </c>
      <c r="I42" s="11">
        <v>1.1165999999999999E-3</v>
      </c>
      <c r="K42" s="12">
        <v>4.3</v>
      </c>
      <c r="L42" s="11">
        <v>1.3484E-3</v>
      </c>
      <c r="N42" s="38" t="s">
        <v>68</v>
      </c>
      <c r="O42" s="36" t="s">
        <v>145</v>
      </c>
      <c r="P42" s="121" t="s">
        <v>94</v>
      </c>
      <c r="Q42" s="121" t="s">
        <v>92</v>
      </c>
      <c r="R42" s="121" t="s">
        <v>94</v>
      </c>
      <c r="S42" s="93" t="s">
        <v>183</v>
      </c>
      <c r="T42" s="96" t="s">
        <v>188</v>
      </c>
      <c r="AC42" s="28">
        <v>45</v>
      </c>
      <c r="AD42" s="29">
        <v>1</v>
      </c>
      <c r="AE42" s="81"/>
      <c r="AF42" s="81"/>
      <c r="AG42" s="81"/>
      <c r="AH42" s="81"/>
      <c r="AI42" s="81"/>
    </row>
    <row r="43" spans="2:35" ht="15.75" thickBot="1" x14ac:dyDescent="0.3">
      <c r="B43" s="5">
        <v>39</v>
      </c>
      <c r="C43" s="6">
        <v>7.54129E-3</v>
      </c>
      <c r="E43" s="5">
        <v>39</v>
      </c>
      <c r="F43" s="6">
        <v>9.3982400000000004E-3</v>
      </c>
      <c r="H43" s="12">
        <v>4.4000000000000004</v>
      </c>
      <c r="I43" s="11">
        <v>1.1758999999999999E-3</v>
      </c>
      <c r="K43" s="12">
        <v>4.4000000000000004</v>
      </c>
      <c r="L43" s="11">
        <v>1.42E-3</v>
      </c>
      <c r="N43" s="38" t="s">
        <v>173</v>
      </c>
      <c r="O43" s="36" t="s">
        <v>158</v>
      </c>
      <c r="P43" s="121" t="s">
        <v>101</v>
      </c>
      <c r="Q43" s="121" t="s">
        <v>74</v>
      </c>
      <c r="R43" s="121" t="s">
        <v>101</v>
      </c>
      <c r="S43" s="93" t="s">
        <v>149</v>
      </c>
      <c r="T43" s="76" t="s">
        <v>191</v>
      </c>
      <c r="AC43" s="28">
        <v>46</v>
      </c>
      <c r="AD43" s="29">
        <v>1</v>
      </c>
      <c r="AE43" s="81"/>
      <c r="AF43" s="81"/>
      <c r="AG43" s="81"/>
      <c r="AH43" s="81"/>
      <c r="AI43" s="81"/>
    </row>
    <row r="44" spans="2:35" ht="16.5" thickBot="1" x14ac:dyDescent="0.3">
      <c r="B44" s="5">
        <v>40</v>
      </c>
      <c r="C44" s="6">
        <v>7.9419799999999995E-3</v>
      </c>
      <c r="E44" s="5">
        <v>40</v>
      </c>
      <c r="F44" s="6">
        <v>9.9100899999999999E-3</v>
      </c>
      <c r="H44" s="12">
        <v>4.5</v>
      </c>
      <c r="I44" s="11">
        <v>1.2371999999999999E-3</v>
      </c>
      <c r="K44" s="12">
        <v>4.5</v>
      </c>
      <c r="L44" s="11">
        <v>1.4940000000000001E-3</v>
      </c>
      <c r="N44" s="38" t="s">
        <v>68</v>
      </c>
      <c r="O44" s="36" t="s">
        <v>132</v>
      </c>
      <c r="P44" s="121" t="s">
        <v>17</v>
      </c>
      <c r="Q44" s="125" t="s">
        <v>17</v>
      </c>
      <c r="R44" s="121" t="s">
        <v>17</v>
      </c>
      <c r="S44" s="93" t="s">
        <v>132</v>
      </c>
      <c r="T44" s="41" t="s">
        <v>190</v>
      </c>
      <c r="AC44" s="28">
        <v>47</v>
      </c>
      <c r="AD44" s="29">
        <v>1</v>
      </c>
      <c r="AE44" s="81"/>
      <c r="AF44" s="81"/>
      <c r="AG44" s="81"/>
      <c r="AH44" s="81"/>
      <c r="AI44" s="81"/>
    </row>
    <row r="45" spans="2:35" ht="15.75" thickBot="1" x14ac:dyDescent="0.3">
      <c r="B45" s="5">
        <v>41</v>
      </c>
      <c r="C45" s="6">
        <v>8.3532999999999993E-3</v>
      </c>
      <c r="E45" s="5">
        <v>41</v>
      </c>
      <c r="F45" s="6">
        <v>1.043616E-2</v>
      </c>
      <c r="H45" s="12">
        <v>4.5999999999999996</v>
      </c>
      <c r="I45" s="11">
        <v>1.3005E-3</v>
      </c>
      <c r="K45" s="12">
        <v>4.5999999999999996</v>
      </c>
      <c r="L45" s="11">
        <v>1.5705000000000001E-3</v>
      </c>
      <c r="N45" s="94" t="s">
        <v>69</v>
      </c>
      <c r="O45" s="92" t="s">
        <v>257</v>
      </c>
      <c r="P45" s="120" t="s">
        <v>111</v>
      </c>
      <c r="Q45" s="122" t="s">
        <v>74</v>
      </c>
      <c r="R45" s="120" t="s">
        <v>74</v>
      </c>
      <c r="S45" s="97" t="s">
        <v>151</v>
      </c>
      <c r="T45" s="76" t="s">
        <v>191</v>
      </c>
      <c r="AC45" s="28">
        <v>48</v>
      </c>
      <c r="AD45" s="29">
        <v>1</v>
      </c>
      <c r="AE45" s="81"/>
      <c r="AF45" s="81"/>
      <c r="AG45" s="81"/>
      <c r="AH45" s="81"/>
      <c r="AI45" s="81"/>
    </row>
    <row r="46" spans="2:35" ht="15.75" thickBot="1" x14ac:dyDescent="0.3">
      <c r="B46" s="5">
        <v>42</v>
      </c>
      <c r="C46" s="6">
        <v>8.7752400000000001E-3</v>
      </c>
      <c r="E46" s="5">
        <v>42</v>
      </c>
      <c r="F46" s="6">
        <v>1.097647E-2</v>
      </c>
      <c r="H46" s="12">
        <v>4.7</v>
      </c>
      <c r="I46" s="11">
        <v>1.366E-3</v>
      </c>
      <c r="K46" s="12">
        <v>4.7</v>
      </c>
      <c r="L46" s="11">
        <v>1.6496E-3</v>
      </c>
      <c r="N46" s="94" t="s">
        <v>68</v>
      </c>
      <c r="O46" s="92" t="s">
        <v>176</v>
      </c>
      <c r="P46" s="120" t="s">
        <v>270</v>
      </c>
      <c r="Q46" s="120" t="s">
        <v>17</v>
      </c>
      <c r="R46" s="120" t="s">
        <v>17</v>
      </c>
      <c r="S46" s="93" t="s">
        <v>131</v>
      </c>
      <c r="T46" s="41" t="s">
        <v>188</v>
      </c>
      <c r="AC46" s="28">
        <v>49</v>
      </c>
      <c r="AD46" s="29">
        <v>1</v>
      </c>
      <c r="AE46" s="81"/>
      <c r="AF46" s="81"/>
      <c r="AG46" s="81"/>
      <c r="AH46" s="81"/>
      <c r="AI46" s="81"/>
    </row>
    <row r="47" spans="2:35" ht="15.75" thickBot="1" x14ac:dyDescent="0.3">
      <c r="B47" s="5">
        <v>43</v>
      </c>
      <c r="C47" s="6">
        <v>9.2078300000000002E-3</v>
      </c>
      <c r="E47" s="5">
        <v>43</v>
      </c>
      <c r="F47" s="6">
        <v>1.1531059999999999E-2</v>
      </c>
      <c r="H47" s="12">
        <v>4.8</v>
      </c>
      <c r="I47" s="11">
        <v>1.4335999999999999E-3</v>
      </c>
      <c r="K47" s="12">
        <v>4.8</v>
      </c>
      <c r="L47" s="11">
        <v>1.7313999999999999E-3</v>
      </c>
      <c r="N47" s="38" t="s">
        <v>68</v>
      </c>
      <c r="O47" s="36" t="s">
        <v>133</v>
      </c>
      <c r="P47" s="121" t="s">
        <v>88</v>
      </c>
      <c r="Q47" s="121" t="s">
        <v>17</v>
      </c>
      <c r="R47" s="121" t="s">
        <v>88</v>
      </c>
      <c r="S47" s="93" t="s">
        <v>132</v>
      </c>
      <c r="T47" s="41" t="s">
        <v>190</v>
      </c>
      <c r="AC47" s="30">
        <v>50</v>
      </c>
      <c r="AD47" s="31">
        <v>1</v>
      </c>
      <c r="AE47" s="81"/>
      <c r="AF47" s="81"/>
      <c r="AG47" s="81"/>
      <c r="AH47" s="81"/>
      <c r="AI47" s="81"/>
    </row>
    <row r="48" spans="2:35" ht="15.75" thickBot="1" x14ac:dyDescent="0.3">
      <c r="B48" s="5">
        <v>44</v>
      </c>
      <c r="C48" s="6">
        <v>9.6510799999999994E-3</v>
      </c>
      <c r="E48" s="5">
        <v>44</v>
      </c>
      <c r="F48" s="6">
        <v>1.209996E-2</v>
      </c>
      <c r="H48" s="12">
        <v>4.9000000000000004</v>
      </c>
      <c r="I48" s="11">
        <v>1.5034E-3</v>
      </c>
      <c r="K48" s="12">
        <v>4.9000000000000004</v>
      </c>
      <c r="L48" s="11">
        <v>1.8158E-3</v>
      </c>
      <c r="N48" s="94" t="s">
        <v>68</v>
      </c>
      <c r="O48" s="92" t="s">
        <v>262</v>
      </c>
      <c r="P48" s="120" t="s">
        <v>271</v>
      </c>
      <c r="Q48" s="122" t="s">
        <v>92</v>
      </c>
      <c r="R48" s="122" t="s">
        <v>92</v>
      </c>
      <c r="S48" s="93" t="s">
        <v>183</v>
      </c>
      <c r="T48" s="96" t="s">
        <v>188</v>
      </c>
      <c r="AF48" s="81"/>
      <c r="AG48" s="81"/>
      <c r="AH48" s="81"/>
    </row>
    <row r="49" spans="2:20" ht="15.75" thickBot="1" x14ac:dyDescent="0.3">
      <c r="B49" s="5">
        <v>45</v>
      </c>
      <c r="C49" s="6">
        <v>1.0105009999999999E-2</v>
      </c>
      <c r="E49" s="5">
        <v>45</v>
      </c>
      <c r="F49" s="6">
        <v>1.268321E-2</v>
      </c>
      <c r="H49" s="12">
        <v>5</v>
      </c>
      <c r="I49" s="11">
        <v>1.5755999999999999E-3</v>
      </c>
      <c r="K49" s="12">
        <v>5</v>
      </c>
      <c r="L49" s="11">
        <v>1.9031E-3</v>
      </c>
      <c r="N49" s="94" t="s">
        <v>68</v>
      </c>
      <c r="O49" s="92" t="s">
        <v>282</v>
      </c>
      <c r="P49" s="120" t="s">
        <v>283</v>
      </c>
      <c r="Q49" s="120" t="s">
        <v>12</v>
      </c>
      <c r="R49" s="120" t="s">
        <v>17</v>
      </c>
      <c r="S49" s="56" t="s">
        <v>131</v>
      </c>
      <c r="T49" s="96" t="s">
        <v>188</v>
      </c>
    </row>
    <row r="50" spans="2:20" ht="16.5" thickBot="1" x14ac:dyDescent="0.3">
      <c r="B50" s="5">
        <v>46</v>
      </c>
      <c r="C50" s="6">
        <v>1.056962E-2</v>
      </c>
      <c r="E50" s="5">
        <v>46</v>
      </c>
      <c r="F50" s="6">
        <v>1.328084E-2</v>
      </c>
      <c r="H50" s="12">
        <v>5.0999999999999996</v>
      </c>
      <c r="I50" s="11">
        <v>1.6501E-3</v>
      </c>
      <c r="K50" s="12">
        <v>5.0999999999999996</v>
      </c>
      <c r="L50" s="11">
        <v>1.9932000000000001E-3</v>
      </c>
      <c r="N50" s="38" t="s">
        <v>68</v>
      </c>
      <c r="O50" s="36" t="s">
        <v>147</v>
      </c>
      <c r="P50" s="121" t="s">
        <v>18</v>
      </c>
      <c r="Q50" s="125" t="s">
        <v>18</v>
      </c>
      <c r="R50" s="121" t="s">
        <v>18</v>
      </c>
      <c r="S50" s="93" t="s">
        <v>183</v>
      </c>
      <c r="T50" s="96" t="s">
        <v>188</v>
      </c>
    </row>
    <row r="51" spans="2:20" ht="15.75" thickBot="1" x14ac:dyDescent="0.3">
      <c r="B51" s="5">
        <v>47</v>
      </c>
      <c r="C51" s="6">
        <v>1.104493E-2</v>
      </c>
      <c r="E51" s="5">
        <v>47</v>
      </c>
      <c r="F51" s="6">
        <v>1.389288E-2</v>
      </c>
      <c r="H51" s="12">
        <v>5.2</v>
      </c>
      <c r="I51" s="11">
        <v>1.727E-3</v>
      </c>
      <c r="K51" s="12">
        <v>5.2</v>
      </c>
      <c r="L51" s="11">
        <v>2.0863000000000001E-3</v>
      </c>
      <c r="N51" s="94" t="s">
        <v>68</v>
      </c>
      <c r="O51" s="92" t="s">
        <v>263</v>
      </c>
      <c r="P51" s="120" t="s">
        <v>271</v>
      </c>
      <c r="Q51" s="122" t="s">
        <v>92</v>
      </c>
      <c r="R51" s="122" t="s">
        <v>92</v>
      </c>
      <c r="S51" s="93" t="s">
        <v>183</v>
      </c>
      <c r="T51" s="96" t="s">
        <v>188</v>
      </c>
    </row>
    <row r="52" spans="2:20" ht="15.75" thickBot="1" x14ac:dyDescent="0.3">
      <c r="B52" s="5">
        <v>48</v>
      </c>
      <c r="C52" s="6">
        <v>1.153095E-2</v>
      </c>
      <c r="E52" s="5">
        <v>48</v>
      </c>
      <c r="F52" s="6">
        <v>1.451936E-2</v>
      </c>
      <c r="H52" s="12">
        <v>5.3</v>
      </c>
      <c r="I52" s="11">
        <v>1.8064999999999999E-3</v>
      </c>
      <c r="K52" s="12">
        <v>5.3</v>
      </c>
      <c r="L52" s="11">
        <v>2.1825E-3</v>
      </c>
      <c r="N52" s="94" t="s">
        <v>68</v>
      </c>
      <c r="O52" s="92" t="s">
        <v>198</v>
      </c>
      <c r="P52" s="120" t="s">
        <v>315</v>
      </c>
      <c r="Q52" s="120" t="s">
        <v>18</v>
      </c>
      <c r="R52" s="120" t="s">
        <v>18</v>
      </c>
      <c r="S52" s="97" t="s">
        <v>183</v>
      </c>
      <c r="T52" s="96" t="s">
        <v>188</v>
      </c>
    </row>
    <row r="53" spans="2:20" ht="15.75" thickBot="1" x14ac:dyDescent="0.3">
      <c r="B53" s="5">
        <v>49</v>
      </c>
      <c r="C53" s="6">
        <v>1.2027690000000001E-2</v>
      </c>
      <c r="E53" s="5">
        <v>49</v>
      </c>
      <c r="F53" s="6">
        <v>1.51603E-2</v>
      </c>
      <c r="H53" s="12">
        <v>5.4</v>
      </c>
      <c r="I53" s="11">
        <v>1.8885E-3</v>
      </c>
      <c r="K53" s="12">
        <v>5.4</v>
      </c>
      <c r="L53" s="11">
        <v>2.2818999999999999E-3</v>
      </c>
      <c r="N53" s="38" t="s">
        <v>173</v>
      </c>
      <c r="O53" s="92" t="s">
        <v>128</v>
      </c>
      <c r="P53" s="121" t="s">
        <v>109</v>
      </c>
      <c r="Q53" s="121" t="s">
        <v>74</v>
      </c>
      <c r="R53" s="121" t="s">
        <v>74</v>
      </c>
      <c r="S53" s="93" t="s">
        <v>151</v>
      </c>
      <c r="T53" s="76" t="s">
        <v>191</v>
      </c>
    </row>
    <row r="54" spans="2:20" ht="16.5" thickBot="1" x14ac:dyDescent="0.3">
      <c r="B54" s="5">
        <v>50</v>
      </c>
      <c r="C54" s="6">
        <v>1.253517E-2</v>
      </c>
      <c r="E54" s="5">
        <v>50</v>
      </c>
      <c r="F54" s="6">
        <v>1.581575E-2</v>
      </c>
      <c r="H54" s="12">
        <v>5.5</v>
      </c>
      <c r="I54" s="11">
        <v>1.9732E-3</v>
      </c>
      <c r="K54" s="12">
        <v>5.5</v>
      </c>
      <c r="L54" s="11">
        <v>2.3844999999999999E-3</v>
      </c>
      <c r="N54" s="38" t="s">
        <v>68</v>
      </c>
      <c r="O54" s="36" t="s">
        <v>136</v>
      </c>
      <c r="P54" s="121" t="s">
        <v>19</v>
      </c>
      <c r="Q54" s="125" t="s">
        <v>19</v>
      </c>
      <c r="R54" s="121" t="s">
        <v>19</v>
      </c>
      <c r="S54" s="93" t="s">
        <v>183</v>
      </c>
      <c r="T54" s="41" t="s">
        <v>136</v>
      </c>
    </row>
    <row r="55" spans="2:20" ht="16.5" thickBot="1" x14ac:dyDescent="0.3">
      <c r="H55" s="12">
        <v>5.6</v>
      </c>
      <c r="I55" s="11">
        <v>2.0606000000000001E-3</v>
      </c>
      <c r="K55" s="12">
        <v>5.6</v>
      </c>
      <c r="L55" s="11">
        <v>2.4903999999999998E-3</v>
      </c>
      <c r="N55" s="38" t="s">
        <v>173</v>
      </c>
      <c r="O55" s="36" t="s">
        <v>149</v>
      </c>
      <c r="P55" s="121" t="s">
        <v>70</v>
      </c>
      <c r="Q55" s="123" t="s">
        <v>70</v>
      </c>
      <c r="R55" s="121" t="s">
        <v>70</v>
      </c>
      <c r="S55" s="93" t="s">
        <v>149</v>
      </c>
      <c r="T55" s="76" t="s">
        <v>191</v>
      </c>
    </row>
    <row r="56" spans="2:20" ht="30.75" thickBot="1" x14ac:dyDescent="0.3">
      <c r="H56" s="12">
        <v>5.7</v>
      </c>
      <c r="I56" s="11">
        <v>2.1508999999999999E-3</v>
      </c>
      <c r="K56" s="12">
        <v>5.7</v>
      </c>
      <c r="L56" s="11">
        <v>2.5998000000000002E-3</v>
      </c>
      <c r="N56" s="38" t="s">
        <v>68</v>
      </c>
      <c r="O56" s="36" t="s">
        <v>280</v>
      </c>
      <c r="P56" s="121" t="s">
        <v>90</v>
      </c>
      <c r="Q56" s="121" t="s">
        <v>19</v>
      </c>
      <c r="R56" s="121" t="s">
        <v>90</v>
      </c>
      <c r="S56" s="93" t="s">
        <v>183</v>
      </c>
      <c r="T56" s="41" t="s">
        <v>136</v>
      </c>
    </row>
    <row r="57" spans="2:20" ht="15.75" thickBot="1" x14ac:dyDescent="0.3">
      <c r="H57" s="12">
        <v>5.8</v>
      </c>
      <c r="I57" s="11">
        <v>2.2439999999999999E-3</v>
      </c>
      <c r="K57" s="12">
        <v>5.8</v>
      </c>
      <c r="L57" s="11">
        <v>2.7128E-3</v>
      </c>
      <c r="N57" s="94" t="s">
        <v>68</v>
      </c>
      <c r="O57" s="92" t="s">
        <v>264</v>
      </c>
      <c r="P57" s="120" t="s">
        <v>316</v>
      </c>
      <c r="Q57" s="122" t="s">
        <v>19</v>
      </c>
      <c r="R57" s="122" t="s">
        <v>19</v>
      </c>
      <c r="S57" s="93" t="s">
        <v>183</v>
      </c>
      <c r="T57" s="41" t="s">
        <v>136</v>
      </c>
    </row>
    <row r="58" spans="2:20" ht="15.75" thickBot="1" x14ac:dyDescent="0.3">
      <c r="H58" s="12">
        <v>5.9</v>
      </c>
      <c r="I58" s="11">
        <v>2.3402000000000002E-3</v>
      </c>
      <c r="K58" s="12">
        <v>5.9</v>
      </c>
      <c r="L58" s="11">
        <v>2.8295999999999998E-3</v>
      </c>
      <c r="N58" s="38" t="s">
        <v>173</v>
      </c>
      <c r="O58" s="92" t="s">
        <v>129</v>
      </c>
      <c r="P58" s="121" t="s">
        <v>111</v>
      </c>
      <c r="Q58" s="121" t="s">
        <v>74</v>
      </c>
      <c r="R58" s="121" t="s">
        <v>74</v>
      </c>
      <c r="S58" s="93" t="s">
        <v>149</v>
      </c>
      <c r="T58" s="76" t="s">
        <v>191</v>
      </c>
    </row>
    <row r="59" spans="2:20" ht="15.75" thickBot="1" x14ac:dyDescent="0.3">
      <c r="H59" s="12">
        <v>6</v>
      </c>
      <c r="I59" s="11">
        <v>2.4396000000000001E-3</v>
      </c>
      <c r="K59" s="12">
        <v>6</v>
      </c>
      <c r="L59" s="11">
        <v>2.9502E-3</v>
      </c>
      <c r="N59" s="38" t="s">
        <v>68</v>
      </c>
      <c r="O59" s="92" t="s">
        <v>177</v>
      </c>
      <c r="P59" s="122" t="s">
        <v>271</v>
      </c>
      <c r="Q59" s="122" t="s">
        <v>19</v>
      </c>
      <c r="R59" s="122" t="s">
        <v>19</v>
      </c>
      <c r="S59" s="93" t="s">
        <v>183</v>
      </c>
      <c r="T59" s="41" t="s">
        <v>136</v>
      </c>
    </row>
    <row r="60" spans="2:20" ht="15.75" thickBot="1" x14ac:dyDescent="0.3">
      <c r="H60" s="12">
        <v>6.1</v>
      </c>
      <c r="I60" s="11">
        <v>2.5420999999999998E-3</v>
      </c>
      <c r="K60" s="12">
        <v>6.1</v>
      </c>
      <c r="L60" s="11">
        <v>3.0747000000000001E-3</v>
      </c>
      <c r="N60" s="38" t="s">
        <v>68</v>
      </c>
      <c r="O60" s="92" t="s">
        <v>125</v>
      </c>
      <c r="P60" s="121" t="s">
        <v>85</v>
      </c>
      <c r="Q60" s="121" t="s">
        <v>18</v>
      </c>
      <c r="R60" s="121" t="s">
        <v>18</v>
      </c>
      <c r="S60" s="93" t="s">
        <v>183</v>
      </c>
      <c r="T60" s="96" t="s">
        <v>188</v>
      </c>
    </row>
    <row r="61" spans="2:20" ht="15.75" thickBot="1" x14ac:dyDescent="0.3">
      <c r="H61" s="12">
        <v>6.2</v>
      </c>
      <c r="I61" s="11">
        <v>2.6480000000000002E-3</v>
      </c>
      <c r="K61" s="12">
        <v>6.2</v>
      </c>
      <c r="L61" s="11">
        <v>3.2033999999999999E-3</v>
      </c>
      <c r="N61" s="94" t="s">
        <v>68</v>
      </c>
      <c r="O61" s="92" t="s">
        <v>196</v>
      </c>
      <c r="P61" s="120" t="s">
        <v>272</v>
      </c>
      <c r="Q61" s="120" t="s">
        <v>20</v>
      </c>
      <c r="R61" s="120" t="s">
        <v>20</v>
      </c>
      <c r="S61" s="97" t="s">
        <v>130</v>
      </c>
      <c r="T61" s="83" t="s">
        <v>189</v>
      </c>
    </row>
    <row r="62" spans="2:20" ht="15.75" thickBot="1" x14ac:dyDescent="0.3">
      <c r="H62" s="12">
        <v>6.3</v>
      </c>
      <c r="I62" s="11">
        <v>2.7574000000000001E-3</v>
      </c>
      <c r="K62" s="12">
        <v>6.3</v>
      </c>
      <c r="L62" s="11">
        <v>3.3362999999999999E-3</v>
      </c>
      <c r="N62" s="38" t="s">
        <v>173</v>
      </c>
      <c r="O62" s="92" t="s">
        <v>126</v>
      </c>
      <c r="P62" s="121" t="s">
        <v>107</v>
      </c>
      <c r="Q62" s="121" t="s">
        <v>70</v>
      </c>
      <c r="R62" s="121" t="s">
        <v>70</v>
      </c>
      <c r="S62" s="93" t="s">
        <v>149</v>
      </c>
      <c r="T62" s="76" t="s">
        <v>191</v>
      </c>
    </row>
    <row r="63" spans="2:20" ht="15.75" thickBot="1" x14ac:dyDescent="0.3">
      <c r="H63" s="12">
        <v>6.4</v>
      </c>
      <c r="I63" s="11">
        <v>2.8703000000000001E-3</v>
      </c>
      <c r="K63" s="12">
        <v>6.4</v>
      </c>
      <c r="L63" s="11">
        <v>3.4737000000000001E-3</v>
      </c>
      <c r="N63" s="94" t="s">
        <v>68</v>
      </c>
      <c r="O63" s="92" t="s">
        <v>286</v>
      </c>
      <c r="P63" s="120" t="s">
        <v>278</v>
      </c>
      <c r="Q63" s="120" t="s">
        <v>20</v>
      </c>
      <c r="R63" s="120" t="s">
        <v>12</v>
      </c>
      <c r="S63" s="56" t="s">
        <v>131</v>
      </c>
      <c r="T63" s="96" t="s">
        <v>188</v>
      </c>
    </row>
    <row r="64" spans="2:20" ht="16.5" thickBot="1" x14ac:dyDescent="0.3">
      <c r="H64" s="12">
        <v>6.5</v>
      </c>
      <c r="I64" s="11">
        <v>2.9870000000000001E-3</v>
      </c>
      <c r="K64" s="12">
        <v>6.5</v>
      </c>
      <c r="L64" s="11">
        <v>3.6156999999999999E-3</v>
      </c>
      <c r="N64" s="38" t="s">
        <v>173</v>
      </c>
      <c r="O64" s="36" t="s">
        <v>155</v>
      </c>
      <c r="P64" s="121" t="s">
        <v>73</v>
      </c>
      <c r="Q64" s="123" t="s">
        <v>73</v>
      </c>
      <c r="R64" s="121" t="s">
        <v>73</v>
      </c>
      <c r="S64" s="93" t="s">
        <v>149</v>
      </c>
      <c r="T64" s="76" t="s">
        <v>191</v>
      </c>
    </row>
    <row r="65" spans="8:20" ht="15.75" thickBot="1" x14ac:dyDescent="0.3">
      <c r="H65" s="12">
        <v>6.6</v>
      </c>
      <c r="I65" s="11">
        <v>3.1075999999999999E-3</v>
      </c>
      <c r="K65" s="12">
        <v>6.6</v>
      </c>
      <c r="L65" s="11">
        <v>3.7624999999999998E-3</v>
      </c>
      <c r="N65" s="38" t="s">
        <v>173</v>
      </c>
      <c r="O65" s="36" t="s">
        <v>281</v>
      </c>
      <c r="P65" s="126" t="s">
        <v>317</v>
      </c>
      <c r="Q65" s="121" t="s">
        <v>71</v>
      </c>
      <c r="R65" s="121" t="s">
        <v>317</v>
      </c>
      <c r="S65" s="93" t="s">
        <v>149</v>
      </c>
      <c r="T65" s="76" t="s">
        <v>191</v>
      </c>
    </row>
    <row r="66" spans="8:20" ht="15.75" thickBot="1" x14ac:dyDescent="0.3">
      <c r="H66" s="12">
        <v>6.7</v>
      </c>
      <c r="I66" s="11">
        <v>3.2320999999999999E-3</v>
      </c>
      <c r="K66" s="12">
        <v>6.7</v>
      </c>
      <c r="L66" s="11">
        <v>3.9142999999999999E-3</v>
      </c>
      <c r="N66" s="38" t="s">
        <v>173</v>
      </c>
      <c r="O66" s="92" t="s">
        <v>167</v>
      </c>
      <c r="P66" s="121" t="s">
        <v>114</v>
      </c>
      <c r="Q66" s="121" t="s">
        <v>72</v>
      </c>
      <c r="R66" s="121" t="s">
        <v>100</v>
      </c>
      <c r="S66" s="93" t="s">
        <v>149</v>
      </c>
      <c r="T66" s="76" t="s">
        <v>191</v>
      </c>
    </row>
    <row r="67" spans="8:20" ht="15.75" thickBot="1" x14ac:dyDescent="0.3">
      <c r="H67" s="12">
        <v>6.8</v>
      </c>
      <c r="I67" s="11">
        <v>3.3608000000000002E-3</v>
      </c>
      <c r="K67" s="12">
        <v>6.8</v>
      </c>
      <c r="L67" s="11">
        <v>4.0711999999999996E-3</v>
      </c>
      <c r="N67" s="38" t="s">
        <v>173</v>
      </c>
      <c r="O67" s="36" t="s">
        <v>150</v>
      </c>
      <c r="P67" s="121" t="s">
        <v>96</v>
      </c>
      <c r="Q67" s="121" t="s">
        <v>71</v>
      </c>
      <c r="R67" s="121" t="s">
        <v>96</v>
      </c>
      <c r="S67" s="93" t="s">
        <v>149</v>
      </c>
      <c r="T67" s="76" t="s">
        <v>191</v>
      </c>
    </row>
    <row r="68" spans="8:20" ht="15.75" thickBot="1" x14ac:dyDescent="0.3">
      <c r="H68" s="12">
        <v>6.9</v>
      </c>
      <c r="I68" s="11">
        <v>3.4938999999999999E-3</v>
      </c>
      <c r="K68" s="12">
        <v>6.9</v>
      </c>
      <c r="L68" s="11">
        <v>4.2335999999999997E-3</v>
      </c>
      <c r="N68" s="38" t="s">
        <v>173</v>
      </c>
      <c r="O68" s="78" t="s">
        <v>279</v>
      </c>
      <c r="P68" s="121" t="s">
        <v>110</v>
      </c>
      <c r="Q68" s="121" t="s">
        <v>71</v>
      </c>
      <c r="R68" s="121" t="s">
        <v>317</v>
      </c>
      <c r="S68" s="93" t="s">
        <v>149</v>
      </c>
      <c r="T68" s="76" t="s">
        <v>191</v>
      </c>
    </row>
    <row r="69" spans="8:20" ht="15.75" thickBot="1" x14ac:dyDescent="0.3">
      <c r="H69" s="13">
        <v>7</v>
      </c>
      <c r="I69" s="10">
        <v>3.6315000000000002E-3</v>
      </c>
      <c r="K69" s="13">
        <v>7</v>
      </c>
      <c r="L69" s="10">
        <v>4.4015E-3</v>
      </c>
      <c r="N69" s="94" t="s">
        <v>69</v>
      </c>
      <c r="O69" s="92" t="s">
        <v>208</v>
      </c>
      <c r="P69" s="122" t="s">
        <v>111</v>
      </c>
      <c r="Q69" s="122" t="s">
        <v>72</v>
      </c>
      <c r="R69" s="122" t="s">
        <v>74</v>
      </c>
      <c r="S69" s="97" t="s">
        <v>149</v>
      </c>
      <c r="T69" s="76" t="s">
        <v>191</v>
      </c>
    </row>
    <row r="70" spans="8:20" ht="16.5" thickBot="1" x14ac:dyDescent="0.3">
      <c r="H70" s="12">
        <v>7.1</v>
      </c>
      <c r="I70" s="11">
        <v>3.7737000000000001E-3</v>
      </c>
      <c r="K70" s="12">
        <v>7.1</v>
      </c>
      <c r="L70" s="11">
        <v>4.5753E-3</v>
      </c>
      <c r="N70" s="38" t="s">
        <v>68</v>
      </c>
      <c r="O70" s="36" t="s">
        <v>130</v>
      </c>
      <c r="P70" s="121" t="s">
        <v>20</v>
      </c>
      <c r="Q70" s="125" t="s">
        <v>20</v>
      </c>
      <c r="R70" s="121" t="s">
        <v>20</v>
      </c>
      <c r="S70" s="93" t="s">
        <v>130</v>
      </c>
      <c r="T70" s="83" t="s">
        <v>189</v>
      </c>
    </row>
    <row r="71" spans="8:20" ht="15.75" thickBot="1" x14ac:dyDescent="0.3">
      <c r="H71" s="12">
        <v>7.2</v>
      </c>
      <c r="I71" s="11">
        <v>3.9208999999999997E-3</v>
      </c>
      <c r="K71" s="12">
        <v>7.2</v>
      </c>
      <c r="L71" s="11">
        <v>4.7552000000000002E-3</v>
      </c>
      <c r="N71" s="38" t="s">
        <v>173</v>
      </c>
      <c r="O71" s="92" t="s">
        <v>127</v>
      </c>
      <c r="P71" s="121" t="s">
        <v>108</v>
      </c>
      <c r="Q71" s="121" t="s">
        <v>70</v>
      </c>
      <c r="R71" s="121" t="s">
        <v>70</v>
      </c>
      <c r="S71" s="93" t="s">
        <v>149</v>
      </c>
      <c r="T71" s="76" t="s">
        <v>191</v>
      </c>
    </row>
    <row r="72" spans="8:20" ht="15.75" thickBot="1" x14ac:dyDescent="0.3">
      <c r="H72" s="12">
        <v>7.3</v>
      </c>
      <c r="I72" s="11">
        <v>4.0730999999999996E-3</v>
      </c>
      <c r="K72" s="12">
        <v>7.3</v>
      </c>
      <c r="L72" s="11">
        <v>4.9414999999999997E-3</v>
      </c>
      <c r="N72" s="94" t="s">
        <v>68</v>
      </c>
      <c r="O72" s="92" t="s">
        <v>265</v>
      </c>
      <c r="P72" s="122" t="s">
        <v>85</v>
      </c>
      <c r="Q72" s="122" t="s">
        <v>18</v>
      </c>
      <c r="R72" s="122" t="s">
        <v>18</v>
      </c>
      <c r="S72" s="56" t="s">
        <v>183</v>
      </c>
      <c r="T72" s="41" t="s">
        <v>143</v>
      </c>
    </row>
    <row r="73" spans="8:20" ht="15.75" thickBot="1" x14ac:dyDescent="0.3">
      <c r="H73" s="12">
        <v>7.4</v>
      </c>
      <c r="I73" s="11">
        <v>4.2307000000000004E-3</v>
      </c>
      <c r="K73" s="12">
        <v>7.4</v>
      </c>
      <c r="L73" s="11">
        <v>5.1343999999999999E-3</v>
      </c>
      <c r="N73" s="38" t="s">
        <v>173</v>
      </c>
      <c r="O73" s="134" t="s">
        <v>323</v>
      </c>
      <c r="P73" s="134" t="s">
        <v>115</v>
      </c>
      <c r="Q73" s="134" t="s">
        <v>72</v>
      </c>
      <c r="R73" s="134" t="s">
        <v>100</v>
      </c>
      <c r="S73" s="93" t="s">
        <v>149</v>
      </c>
      <c r="T73" s="131" t="s">
        <v>191</v>
      </c>
    </row>
    <row r="74" spans="8:20" ht="16.5" thickBot="1" x14ac:dyDescent="0.3">
      <c r="H74" s="12">
        <v>7.5</v>
      </c>
      <c r="I74" s="11">
        <v>4.3939000000000001E-3</v>
      </c>
      <c r="K74" s="12">
        <v>7.5</v>
      </c>
      <c r="L74" s="11">
        <v>5.3343000000000002E-3</v>
      </c>
      <c r="N74" s="38" t="s">
        <v>68</v>
      </c>
      <c r="O74" s="36" t="s">
        <v>135</v>
      </c>
      <c r="P74" s="121" t="s">
        <v>21</v>
      </c>
      <c r="Q74" s="125" t="s">
        <v>21</v>
      </c>
      <c r="R74" s="121" t="s">
        <v>21</v>
      </c>
      <c r="S74" s="93" t="s">
        <v>183</v>
      </c>
      <c r="T74" s="41" t="s">
        <v>135</v>
      </c>
    </row>
    <row r="75" spans="8:20" ht="15.75" thickBot="1" x14ac:dyDescent="0.3">
      <c r="H75" s="12">
        <v>7.6</v>
      </c>
      <c r="I75" s="11">
        <v>4.5627999999999997E-3</v>
      </c>
      <c r="K75" s="12">
        <v>7.6</v>
      </c>
      <c r="L75" s="11">
        <v>5.5415000000000004E-3</v>
      </c>
      <c r="N75" s="38" t="s">
        <v>173</v>
      </c>
      <c r="O75" s="92" t="s">
        <v>162</v>
      </c>
      <c r="P75" s="121" t="s">
        <v>118</v>
      </c>
      <c r="Q75" s="121" t="s">
        <v>74</v>
      </c>
      <c r="R75" s="121" t="s">
        <v>101</v>
      </c>
      <c r="S75" s="93" t="s">
        <v>149</v>
      </c>
      <c r="T75" s="76" t="s">
        <v>191</v>
      </c>
    </row>
    <row r="76" spans="8:20" ht="15.75" thickBot="1" x14ac:dyDescent="0.3">
      <c r="H76" s="12">
        <v>7.7</v>
      </c>
      <c r="I76" s="11">
        <v>4.7378000000000003E-3</v>
      </c>
      <c r="K76" s="12">
        <v>7.7</v>
      </c>
      <c r="L76" s="11">
        <v>5.7564000000000001E-3</v>
      </c>
      <c r="N76" s="38" t="s">
        <v>173</v>
      </c>
      <c r="O76" s="92" t="s">
        <v>164</v>
      </c>
      <c r="P76" s="121" t="s">
        <v>121</v>
      </c>
      <c r="Q76" s="121" t="s">
        <v>102</v>
      </c>
      <c r="R76" s="121" t="s">
        <v>102</v>
      </c>
      <c r="S76" s="93" t="s">
        <v>149</v>
      </c>
      <c r="T76" s="76" t="s">
        <v>191</v>
      </c>
    </row>
    <row r="77" spans="8:20" ht="15.75" thickBot="1" x14ac:dyDescent="0.3">
      <c r="H77" s="12">
        <v>7.8</v>
      </c>
      <c r="I77" s="11">
        <v>4.9192000000000003E-3</v>
      </c>
      <c r="K77" s="12">
        <v>7.8</v>
      </c>
      <c r="L77" s="11">
        <v>5.9791999999999996E-3</v>
      </c>
      <c r="N77" s="38" t="s">
        <v>173</v>
      </c>
      <c r="O77" s="36" t="s">
        <v>156</v>
      </c>
      <c r="P77" s="121" t="s">
        <v>98</v>
      </c>
      <c r="Q77" s="121" t="s">
        <v>71</v>
      </c>
      <c r="R77" s="121" t="s">
        <v>98</v>
      </c>
      <c r="S77" s="93" t="s">
        <v>151</v>
      </c>
      <c r="T77" s="76" t="s">
        <v>191</v>
      </c>
    </row>
    <row r="78" spans="8:20" ht="16.5" thickBot="1" x14ac:dyDescent="0.3">
      <c r="H78" s="12">
        <v>7.9</v>
      </c>
      <c r="I78" s="11">
        <v>5.1072000000000001E-3</v>
      </c>
      <c r="K78" s="12">
        <v>7.9</v>
      </c>
      <c r="L78" s="11">
        <v>6.2104999999999999E-3</v>
      </c>
      <c r="N78" s="38" t="s">
        <v>173</v>
      </c>
      <c r="O78" s="36" t="s">
        <v>152</v>
      </c>
      <c r="P78" s="121" t="s">
        <v>74</v>
      </c>
      <c r="Q78" s="123" t="s">
        <v>74</v>
      </c>
      <c r="R78" s="121" t="s">
        <v>74</v>
      </c>
      <c r="S78" s="93" t="s">
        <v>151</v>
      </c>
      <c r="T78" s="76" t="s">
        <v>191</v>
      </c>
    </row>
    <row r="79" spans="8:20" ht="15.75" thickBot="1" x14ac:dyDescent="0.3">
      <c r="H79" s="12">
        <v>8</v>
      </c>
      <c r="I79" s="11">
        <v>5.3023000000000002E-3</v>
      </c>
      <c r="K79" s="12">
        <v>8</v>
      </c>
      <c r="L79" s="11">
        <v>6.4504999999999996E-3</v>
      </c>
      <c r="N79" s="94" t="s">
        <v>69</v>
      </c>
      <c r="O79" s="92" t="s">
        <v>209</v>
      </c>
      <c r="P79" s="122" t="s">
        <v>318</v>
      </c>
      <c r="Q79" s="122" t="s">
        <v>70</v>
      </c>
      <c r="R79" s="122" t="s">
        <v>96</v>
      </c>
      <c r="S79" s="97" t="s">
        <v>149</v>
      </c>
      <c r="T79" s="76" t="s">
        <v>191</v>
      </c>
    </row>
    <row r="80" spans="8:20" ht="30.75" thickBot="1" x14ac:dyDescent="0.3">
      <c r="H80" s="12">
        <v>8.1</v>
      </c>
      <c r="I80" s="11">
        <v>5.5046000000000001E-3</v>
      </c>
      <c r="K80" s="12">
        <v>8.1</v>
      </c>
      <c r="L80" s="11">
        <v>6.6999E-3</v>
      </c>
      <c r="N80" s="38" t="s">
        <v>68</v>
      </c>
      <c r="O80" s="92" t="s">
        <v>124</v>
      </c>
      <c r="P80" s="121" t="s">
        <v>106</v>
      </c>
      <c r="Q80" s="121" t="s">
        <v>15</v>
      </c>
      <c r="R80" s="121" t="s">
        <v>15</v>
      </c>
      <c r="S80" s="93" t="s">
        <v>183</v>
      </c>
      <c r="T80" s="41" t="s">
        <v>189</v>
      </c>
    </row>
    <row r="81" spans="8:20" ht="16.5" thickBot="1" x14ac:dyDescent="0.3">
      <c r="H81" s="12">
        <v>8.1999999999999993</v>
      </c>
      <c r="I81" s="11">
        <v>5.7146999999999996E-3</v>
      </c>
      <c r="K81" s="12">
        <v>8.1999999999999993</v>
      </c>
      <c r="L81" s="11">
        <v>6.9588999999999996E-3</v>
      </c>
      <c r="N81" s="38" t="s">
        <v>68</v>
      </c>
      <c r="O81" s="36" t="s">
        <v>142</v>
      </c>
      <c r="P81" s="121" t="s">
        <v>22</v>
      </c>
      <c r="Q81" s="125" t="s">
        <v>22</v>
      </c>
      <c r="R81" s="121" t="s">
        <v>22</v>
      </c>
      <c r="S81" s="93" t="s">
        <v>183</v>
      </c>
      <c r="T81" s="83" t="s">
        <v>189</v>
      </c>
    </row>
    <row r="82" spans="8:20" ht="16.5" thickBot="1" x14ac:dyDescent="0.3">
      <c r="H82" s="12">
        <v>8.3000000000000007</v>
      </c>
      <c r="I82" s="11">
        <v>5.9328000000000002E-3</v>
      </c>
      <c r="K82" s="12">
        <v>8.3000000000000007</v>
      </c>
      <c r="L82" s="11">
        <v>7.2283E-3</v>
      </c>
      <c r="N82" s="38" t="s">
        <v>68</v>
      </c>
      <c r="O82" s="36" t="s">
        <v>143</v>
      </c>
      <c r="P82" s="121" t="s">
        <v>92</v>
      </c>
      <c r="Q82" s="125" t="s">
        <v>92</v>
      </c>
      <c r="R82" s="121" t="s">
        <v>92</v>
      </c>
      <c r="S82" s="93" t="s">
        <v>183</v>
      </c>
      <c r="T82" s="96" t="s">
        <v>188</v>
      </c>
    </row>
    <row r="83" spans="8:20" ht="15.75" thickBot="1" x14ac:dyDescent="0.3">
      <c r="H83" s="12">
        <v>8.4</v>
      </c>
      <c r="I83" s="11">
        <v>6.1593999999999998E-3</v>
      </c>
      <c r="K83" s="12">
        <v>8.4</v>
      </c>
      <c r="L83" s="11">
        <v>7.5085000000000004E-3</v>
      </c>
      <c r="N83" s="94" t="s">
        <v>68</v>
      </c>
      <c r="O83" s="92" t="s">
        <v>266</v>
      </c>
      <c r="P83" s="122" t="s">
        <v>272</v>
      </c>
      <c r="Q83" s="122" t="s">
        <v>12</v>
      </c>
      <c r="R83" s="122" t="s">
        <v>20</v>
      </c>
      <c r="S83" s="93" t="s">
        <v>130</v>
      </c>
      <c r="T83" s="83" t="s">
        <v>189</v>
      </c>
    </row>
    <row r="84" spans="8:20" ht="15.75" thickBot="1" x14ac:dyDescent="0.3">
      <c r="H84" s="12">
        <v>8.5</v>
      </c>
      <c r="I84" s="11">
        <v>6.3950999999999999E-3</v>
      </c>
      <c r="K84" s="12">
        <v>8.5</v>
      </c>
      <c r="L84" s="11">
        <v>7.8002000000000002E-3</v>
      </c>
      <c r="N84" s="38" t="s">
        <v>68</v>
      </c>
      <c r="O84" s="36" t="s">
        <v>134</v>
      </c>
      <c r="P84" s="121" t="s">
        <v>89</v>
      </c>
      <c r="Q84" s="121" t="s">
        <v>20</v>
      </c>
      <c r="R84" s="121" t="s">
        <v>89</v>
      </c>
      <c r="S84" s="93" t="s">
        <v>131</v>
      </c>
      <c r="T84" s="41" t="s">
        <v>188</v>
      </c>
    </row>
    <row r="85" spans="8:20" ht="15.75" thickBot="1" x14ac:dyDescent="0.3">
      <c r="H85" s="12">
        <v>8.6</v>
      </c>
      <c r="I85" s="11">
        <v>6.6401000000000003E-3</v>
      </c>
      <c r="K85" s="12">
        <v>8.6</v>
      </c>
      <c r="L85" s="11">
        <v>8.1039000000000007E-3</v>
      </c>
      <c r="N85" s="94" t="s">
        <v>68</v>
      </c>
      <c r="O85" s="92" t="s">
        <v>267</v>
      </c>
      <c r="P85" s="122" t="s">
        <v>312</v>
      </c>
      <c r="Q85" s="122" t="s">
        <v>19</v>
      </c>
      <c r="R85" s="122" t="s">
        <v>19</v>
      </c>
      <c r="S85" s="93" t="s">
        <v>183</v>
      </c>
      <c r="T85" s="41" t="s">
        <v>136</v>
      </c>
    </row>
    <row r="86" spans="8:20" ht="15.75" thickBot="1" x14ac:dyDescent="0.3">
      <c r="H86" s="12">
        <v>8.6999999999999993</v>
      </c>
      <c r="I86" s="11">
        <v>6.8951999999999998E-3</v>
      </c>
      <c r="K86" s="12">
        <v>8.6999999999999993</v>
      </c>
      <c r="L86" s="11">
        <v>8.4203999999999998E-3</v>
      </c>
      <c r="N86" s="94" t="s">
        <v>69</v>
      </c>
      <c r="O86" s="92" t="s">
        <v>210</v>
      </c>
      <c r="P86" s="122" t="s">
        <v>319</v>
      </c>
      <c r="Q86" s="122" t="s">
        <v>72</v>
      </c>
      <c r="R86" s="122" t="s">
        <v>70</v>
      </c>
      <c r="S86" s="97" t="s">
        <v>149</v>
      </c>
      <c r="T86" s="76" t="s">
        <v>191</v>
      </c>
    </row>
    <row r="87" spans="8:20" ht="15.75" thickBot="1" x14ac:dyDescent="0.3">
      <c r="H87" s="12">
        <v>8.8000000000000007</v>
      </c>
      <c r="I87" s="11">
        <v>7.1608000000000002E-3</v>
      </c>
      <c r="K87" s="12">
        <v>8.8000000000000007</v>
      </c>
      <c r="L87" s="11">
        <v>8.7504000000000002E-3</v>
      </c>
      <c r="N87" s="38" t="s">
        <v>173</v>
      </c>
      <c r="O87" s="36" t="s">
        <v>160</v>
      </c>
      <c r="P87" s="121" t="s">
        <v>103</v>
      </c>
      <c r="Q87" s="121" t="s">
        <v>72</v>
      </c>
      <c r="R87" s="121" t="s">
        <v>103</v>
      </c>
      <c r="S87" s="93" t="s">
        <v>149</v>
      </c>
      <c r="T87" s="76" t="s">
        <v>191</v>
      </c>
    </row>
    <row r="88" spans="8:20" ht="15.75" thickBot="1" x14ac:dyDescent="0.3">
      <c r="H88" s="12">
        <v>8.9</v>
      </c>
      <c r="I88" s="11">
        <v>7.4374999999999997E-3</v>
      </c>
      <c r="K88" s="12">
        <v>8.9</v>
      </c>
      <c r="L88" s="11">
        <v>9.0948000000000001E-3</v>
      </c>
      <c r="N88" s="94" t="s">
        <v>69</v>
      </c>
      <c r="O88" s="92" t="s">
        <v>211</v>
      </c>
      <c r="P88" s="122" t="s">
        <v>320</v>
      </c>
      <c r="Q88" s="122" t="s">
        <v>70</v>
      </c>
      <c r="R88" s="122" t="s">
        <v>70</v>
      </c>
      <c r="S88" s="97" t="s">
        <v>149</v>
      </c>
      <c r="T88" s="76" t="s">
        <v>191</v>
      </c>
    </row>
    <row r="89" spans="8:20" ht="15.75" thickBot="1" x14ac:dyDescent="0.3">
      <c r="H89" s="12">
        <v>9</v>
      </c>
      <c r="I89" s="11">
        <v>7.7260000000000002E-3</v>
      </c>
      <c r="K89" s="12">
        <v>9</v>
      </c>
      <c r="L89" s="11">
        <v>9.4544E-3</v>
      </c>
      <c r="N89" s="38" t="s">
        <v>173</v>
      </c>
      <c r="O89" s="36" t="s">
        <v>86</v>
      </c>
      <c r="P89" s="121" t="s">
        <v>321</v>
      </c>
      <c r="Q89" s="121" t="s">
        <v>102</v>
      </c>
      <c r="R89" s="121" t="s">
        <v>321</v>
      </c>
      <c r="S89" s="93" t="s">
        <v>149</v>
      </c>
      <c r="T89" s="76" t="s">
        <v>191</v>
      </c>
    </row>
    <row r="90" spans="8:20" ht="15.75" thickBot="1" x14ac:dyDescent="0.3">
      <c r="H90" s="12">
        <v>9.1</v>
      </c>
      <c r="I90" s="11">
        <v>8.0271000000000006E-3</v>
      </c>
      <c r="K90" s="12">
        <v>9.1</v>
      </c>
      <c r="L90" s="11">
        <v>9.8300999999999996E-3</v>
      </c>
      <c r="N90" s="98" t="s">
        <v>68</v>
      </c>
      <c r="O90" s="99" t="s">
        <v>200</v>
      </c>
      <c r="P90" s="127" t="s">
        <v>322</v>
      </c>
      <c r="Q90" s="127" t="s">
        <v>19</v>
      </c>
      <c r="R90" s="127" t="s">
        <v>70</v>
      </c>
      <c r="S90" s="100" t="s">
        <v>183</v>
      </c>
      <c r="T90" s="101" t="s">
        <v>188</v>
      </c>
    </row>
    <row r="91" spans="8:20" ht="15.75" thickBot="1" x14ac:dyDescent="0.3">
      <c r="H91" s="12">
        <v>9.1999999999999993</v>
      </c>
      <c r="I91" s="11">
        <v>8.3414000000000006E-3</v>
      </c>
      <c r="K91" s="12">
        <v>9.1999999999999993</v>
      </c>
      <c r="L91" s="11">
        <v>1.0223100000000001E-2</v>
      </c>
      <c r="N91" s="102"/>
      <c r="O91" s="92"/>
      <c r="P91" s="77"/>
      <c r="R91" s="77"/>
    </row>
    <row r="92" spans="8:20" ht="15.75" thickBot="1" x14ac:dyDescent="0.3">
      <c r="H92" s="12">
        <v>9.3000000000000007</v>
      </c>
      <c r="I92" s="11">
        <v>8.6698999999999995E-3</v>
      </c>
      <c r="K92" s="12">
        <v>9.3000000000000007</v>
      </c>
      <c r="L92" s="11">
        <v>1.06345E-2</v>
      </c>
    </row>
    <row r="93" spans="8:20" ht="15.75" thickBot="1" x14ac:dyDescent="0.3">
      <c r="H93" s="12">
        <v>9.4</v>
      </c>
      <c r="I93" s="11">
        <v>9.0133999999999995E-3</v>
      </c>
      <c r="K93" s="12">
        <v>9.4</v>
      </c>
      <c r="L93" s="11">
        <v>1.1065500000000001E-2</v>
      </c>
    </row>
    <row r="94" spans="8:20" ht="15.75" thickBot="1" x14ac:dyDescent="0.3">
      <c r="H94" s="12">
        <v>9.5</v>
      </c>
      <c r="I94" s="11">
        <v>9.3729999999999994E-3</v>
      </c>
      <c r="K94" s="12">
        <v>9.5</v>
      </c>
      <c r="L94" s="11">
        <v>1.1517400000000001E-2</v>
      </c>
    </row>
    <row r="95" spans="8:20" ht="15.75" thickBot="1" x14ac:dyDescent="0.3">
      <c r="H95" s="12">
        <v>9.6</v>
      </c>
      <c r="I95" s="11">
        <v>9.7496000000000006E-3</v>
      </c>
      <c r="K95" s="12">
        <v>9.6</v>
      </c>
      <c r="L95" s="11">
        <v>1.1991699999999999E-2</v>
      </c>
    </row>
    <row r="96" spans="8:20" ht="15.75" thickBot="1" x14ac:dyDescent="0.3">
      <c r="H96" s="12">
        <v>9.6999999999999993</v>
      </c>
      <c r="I96" s="11">
        <v>1.0144500000000001E-2</v>
      </c>
      <c r="K96" s="12">
        <v>9.6999999999999993</v>
      </c>
      <c r="L96" s="11">
        <v>1.2489999999999999E-2</v>
      </c>
    </row>
    <row r="97" spans="8:12" ht="15.75" thickBot="1" x14ac:dyDescent="0.3">
      <c r="H97" s="12">
        <v>9.8000000000000007</v>
      </c>
      <c r="I97" s="11">
        <v>1.0559000000000001E-2</v>
      </c>
      <c r="K97" s="12">
        <v>9.8000000000000007</v>
      </c>
      <c r="L97" s="11">
        <v>1.30142E-2</v>
      </c>
    </row>
    <row r="98" spans="8:12" ht="15.75" thickBot="1" x14ac:dyDescent="0.3">
      <c r="H98" s="12">
        <v>9.9</v>
      </c>
      <c r="I98" s="11">
        <v>1.0994500000000001E-2</v>
      </c>
      <c r="K98" s="12">
        <v>9.9</v>
      </c>
      <c r="L98" s="11">
        <v>1.35662E-2</v>
      </c>
    </row>
    <row r="99" spans="8:12" ht="15.75" thickBot="1" x14ac:dyDescent="0.3">
      <c r="H99" s="12">
        <v>10</v>
      </c>
      <c r="I99" s="11">
        <v>1.1452499999999999E-2</v>
      </c>
      <c r="K99" s="12">
        <v>10</v>
      </c>
      <c r="L99" s="11">
        <v>1.41482E-2</v>
      </c>
    </row>
  </sheetData>
  <sheetProtection password="C395" sheet="1" objects="1" scenarios="1"/>
  <autoFilter ref="N3:T90">
    <sortState ref="N4:T90">
      <sortCondition ref="O4:O90"/>
    </sortState>
  </autoFilter>
  <sortState ref="AF4:AH38">
    <sortCondition ref="AG4:AG38"/>
  </sortState>
  <mergeCells count="13">
    <mergeCell ref="B3:C3"/>
    <mergeCell ref="H3:I3"/>
    <mergeCell ref="K3:L3"/>
    <mergeCell ref="AJ2:AL2"/>
    <mergeCell ref="S1:T1"/>
    <mergeCell ref="V1:AA1"/>
    <mergeCell ref="AC1:AD1"/>
    <mergeCell ref="AJ1:AL1"/>
    <mergeCell ref="AN1:AP1"/>
    <mergeCell ref="AR1:AS1"/>
    <mergeCell ref="AU1:AW1"/>
    <mergeCell ref="E3:F3"/>
    <mergeCell ref="AF1:AH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D18" sqref="D18"/>
    </sheetView>
  </sheetViews>
  <sheetFormatPr defaultRowHeight="15" x14ac:dyDescent="0.25"/>
  <cols>
    <col min="1" max="1" width="38.42578125" customWidth="1"/>
    <col min="2" max="2" width="18.85546875" customWidth="1"/>
    <col min="3" max="3" width="17.85546875" customWidth="1"/>
    <col min="4" max="4" width="18.28515625" customWidth="1"/>
    <col min="5" max="5" width="17.85546875" customWidth="1"/>
    <col min="6" max="6" width="18.140625" customWidth="1"/>
    <col min="7" max="7" width="18.140625" style="353" customWidth="1"/>
  </cols>
  <sheetData>
    <row r="1" spans="1:7" x14ac:dyDescent="0.25">
      <c r="A1" s="1" t="s">
        <v>426</v>
      </c>
    </row>
    <row r="2" spans="1:7" x14ac:dyDescent="0.25">
      <c r="A2" s="14" t="s">
        <v>435</v>
      </c>
    </row>
    <row r="3" spans="1:7" ht="15.75" thickBot="1" x14ac:dyDescent="0.3">
      <c r="A3" s="14"/>
    </row>
    <row r="4" spans="1:7" ht="30" customHeight="1" thickBot="1" x14ac:dyDescent="0.3">
      <c r="A4" s="447" t="s">
        <v>467</v>
      </c>
      <c r="B4" s="471"/>
      <c r="C4" s="472"/>
      <c r="D4" s="472"/>
      <c r="E4" s="472"/>
      <c r="F4" s="473"/>
    </row>
    <row r="5" spans="1:7" ht="30" customHeight="1" thickBot="1" x14ac:dyDescent="0.3">
      <c r="A5" s="349"/>
      <c r="B5" s="448" t="s">
        <v>417</v>
      </c>
      <c r="C5" s="448" t="s">
        <v>418</v>
      </c>
      <c r="D5" s="448" t="s">
        <v>419</v>
      </c>
      <c r="E5" s="448" t="s">
        <v>420</v>
      </c>
      <c r="F5" s="448" t="s">
        <v>421</v>
      </c>
      <c r="G5" s="354" t="s">
        <v>2</v>
      </c>
    </row>
    <row r="6" spans="1:7" ht="39.950000000000003" customHeight="1" thickBot="1" x14ac:dyDescent="0.3">
      <c r="A6" s="350" t="s">
        <v>422</v>
      </c>
      <c r="B6" s="474">
        <v>0</v>
      </c>
      <c r="C6" s="475"/>
      <c r="D6" s="475"/>
      <c r="E6" s="475"/>
      <c r="F6" s="475"/>
      <c r="G6" s="355">
        <f>SUM(B6:F6)</f>
        <v>0</v>
      </c>
    </row>
    <row r="7" spans="1:7" ht="39.950000000000003" customHeight="1" thickBot="1" x14ac:dyDescent="0.3">
      <c r="A7" s="350" t="s">
        <v>431</v>
      </c>
      <c r="B7" s="476">
        <v>0</v>
      </c>
      <c r="C7" s="477"/>
      <c r="D7" s="477"/>
      <c r="E7" s="477"/>
      <c r="F7" s="477"/>
      <c r="G7" s="356">
        <f>SUM(B7:F7)</f>
        <v>0</v>
      </c>
    </row>
    <row r="8" spans="1:7" ht="39.950000000000003" customHeight="1" thickBot="1" x14ac:dyDescent="0.3">
      <c r="A8" s="350" t="s">
        <v>425</v>
      </c>
      <c r="B8" s="351">
        <f>SUM(B6:B7)</f>
        <v>0</v>
      </c>
      <c r="C8" s="352">
        <f t="shared" ref="C8:F8" si="0">SUM(C6:C7)</f>
        <v>0</v>
      </c>
      <c r="D8" s="352">
        <f t="shared" si="0"/>
        <v>0</v>
      </c>
      <c r="E8" s="352">
        <f t="shared" si="0"/>
        <v>0</v>
      </c>
      <c r="F8" s="352">
        <f t="shared" si="0"/>
        <v>0</v>
      </c>
      <c r="G8" s="357">
        <f>SUM(B8:F8)</f>
        <v>0</v>
      </c>
    </row>
    <row r="9" spans="1:7" ht="39.950000000000003" customHeight="1" thickBot="1" x14ac:dyDescent="0.3">
      <c r="A9" s="350" t="s">
        <v>423</v>
      </c>
      <c r="B9" s="474">
        <v>0</v>
      </c>
      <c r="C9" s="475"/>
      <c r="D9" s="475"/>
      <c r="E9" s="475"/>
      <c r="F9" s="478"/>
      <c r="G9" s="358"/>
    </row>
    <row r="10" spans="1:7" ht="39.950000000000003" customHeight="1" thickBot="1" x14ac:dyDescent="0.3">
      <c r="A10" s="350" t="s">
        <v>424</v>
      </c>
      <c r="B10" s="377" t="e">
        <f>(100/B9)^2</f>
        <v>#DIV/0!</v>
      </c>
      <c r="C10" s="378"/>
      <c r="D10" s="378"/>
      <c r="E10" s="378"/>
      <c r="F10" s="379"/>
      <c r="G10"/>
    </row>
    <row r="11" spans="1:7" ht="39.950000000000003" customHeight="1" thickBot="1" x14ac:dyDescent="0.3">
      <c r="A11" s="350" t="s">
        <v>460</v>
      </c>
      <c r="B11" s="479">
        <v>0</v>
      </c>
      <c r="C11" s="480"/>
      <c r="D11" s="480"/>
      <c r="E11" s="480"/>
      <c r="F11" s="481"/>
      <c r="G11"/>
    </row>
    <row r="12" spans="1:7" ht="39.950000000000003" customHeight="1" thickBot="1" x14ac:dyDescent="0.3">
      <c r="A12" s="350" t="s">
        <v>5</v>
      </c>
      <c r="B12" s="482">
        <v>0</v>
      </c>
      <c r="C12" s="483"/>
      <c r="D12" s="483"/>
      <c r="E12" s="483"/>
      <c r="F12" s="484"/>
      <c r="G12" s="358"/>
    </row>
  </sheetData>
  <sheetProtection password="C395" sheet="1" objects="1" scenarios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workbookViewId="0">
      <selection activeCell="C21" sqref="C21"/>
    </sheetView>
  </sheetViews>
  <sheetFormatPr defaultRowHeight="12.75" x14ac:dyDescent="0.2"/>
  <cols>
    <col min="1" max="1" width="30.28515625" style="256" customWidth="1"/>
    <col min="2" max="2" width="21.5703125" style="256" customWidth="1"/>
    <col min="3" max="3" width="17.42578125" style="256" customWidth="1"/>
    <col min="4" max="4" width="20.7109375" style="256" customWidth="1"/>
    <col min="5" max="5" width="21.42578125" style="256" customWidth="1"/>
    <col min="6" max="9" width="9.140625" style="256"/>
    <col min="10" max="10" width="28.5703125" style="256" customWidth="1"/>
    <col min="11" max="11" width="9.140625" style="256"/>
    <col min="12" max="12" width="18.140625" style="256" customWidth="1"/>
    <col min="13" max="13" width="19" style="256" customWidth="1"/>
    <col min="14" max="257" width="9.140625" style="256"/>
    <col min="258" max="258" width="15.140625" style="256" bestFit="1" customWidth="1"/>
    <col min="259" max="513" width="9.140625" style="256"/>
    <col min="514" max="514" width="15.140625" style="256" bestFit="1" customWidth="1"/>
    <col min="515" max="769" width="9.140625" style="256"/>
    <col min="770" max="770" width="15.140625" style="256" bestFit="1" customWidth="1"/>
    <col min="771" max="1025" width="9.140625" style="256"/>
    <col min="1026" max="1026" width="15.140625" style="256" bestFit="1" customWidth="1"/>
    <col min="1027" max="1281" width="9.140625" style="256"/>
    <col min="1282" max="1282" width="15.140625" style="256" bestFit="1" customWidth="1"/>
    <col min="1283" max="1537" width="9.140625" style="256"/>
    <col min="1538" max="1538" width="15.140625" style="256" bestFit="1" customWidth="1"/>
    <col min="1539" max="1793" width="9.140625" style="256"/>
    <col min="1794" max="1794" width="15.140625" style="256" bestFit="1" customWidth="1"/>
    <col min="1795" max="2049" width="9.140625" style="256"/>
    <col min="2050" max="2050" width="15.140625" style="256" bestFit="1" customWidth="1"/>
    <col min="2051" max="2305" width="9.140625" style="256"/>
    <col min="2306" max="2306" width="15.140625" style="256" bestFit="1" customWidth="1"/>
    <col min="2307" max="2561" width="9.140625" style="256"/>
    <col min="2562" max="2562" width="15.140625" style="256" bestFit="1" customWidth="1"/>
    <col min="2563" max="2817" width="9.140625" style="256"/>
    <col min="2818" max="2818" width="15.140625" style="256" bestFit="1" customWidth="1"/>
    <col min="2819" max="3073" width="9.140625" style="256"/>
    <col min="3074" max="3074" width="15.140625" style="256" bestFit="1" customWidth="1"/>
    <col min="3075" max="3329" width="9.140625" style="256"/>
    <col min="3330" max="3330" width="15.140625" style="256" bestFit="1" customWidth="1"/>
    <col min="3331" max="3585" width="9.140625" style="256"/>
    <col min="3586" max="3586" width="15.140625" style="256" bestFit="1" customWidth="1"/>
    <col min="3587" max="3841" width="9.140625" style="256"/>
    <col min="3842" max="3842" width="15.140625" style="256" bestFit="1" customWidth="1"/>
    <col min="3843" max="4097" width="9.140625" style="256"/>
    <col min="4098" max="4098" width="15.140625" style="256" bestFit="1" customWidth="1"/>
    <col min="4099" max="4353" width="9.140625" style="256"/>
    <col min="4354" max="4354" width="15.140625" style="256" bestFit="1" customWidth="1"/>
    <col min="4355" max="4609" width="9.140625" style="256"/>
    <col min="4610" max="4610" width="15.140625" style="256" bestFit="1" customWidth="1"/>
    <col min="4611" max="4865" width="9.140625" style="256"/>
    <col min="4866" max="4866" width="15.140625" style="256" bestFit="1" customWidth="1"/>
    <col min="4867" max="5121" width="9.140625" style="256"/>
    <col min="5122" max="5122" width="15.140625" style="256" bestFit="1" customWidth="1"/>
    <col min="5123" max="5377" width="9.140625" style="256"/>
    <col min="5378" max="5378" width="15.140625" style="256" bestFit="1" customWidth="1"/>
    <col min="5379" max="5633" width="9.140625" style="256"/>
    <col min="5634" max="5634" width="15.140625" style="256" bestFit="1" customWidth="1"/>
    <col min="5635" max="5889" width="9.140625" style="256"/>
    <col min="5890" max="5890" width="15.140625" style="256" bestFit="1" customWidth="1"/>
    <col min="5891" max="6145" width="9.140625" style="256"/>
    <col min="6146" max="6146" width="15.140625" style="256" bestFit="1" customWidth="1"/>
    <col min="6147" max="6401" width="9.140625" style="256"/>
    <col min="6402" max="6402" width="15.140625" style="256" bestFit="1" customWidth="1"/>
    <col min="6403" max="6657" width="9.140625" style="256"/>
    <col min="6658" max="6658" width="15.140625" style="256" bestFit="1" customWidth="1"/>
    <col min="6659" max="6913" width="9.140625" style="256"/>
    <col min="6914" max="6914" width="15.140625" style="256" bestFit="1" customWidth="1"/>
    <col min="6915" max="7169" width="9.140625" style="256"/>
    <col min="7170" max="7170" width="15.140625" style="256" bestFit="1" customWidth="1"/>
    <col min="7171" max="7425" width="9.140625" style="256"/>
    <col min="7426" max="7426" width="15.140625" style="256" bestFit="1" customWidth="1"/>
    <col min="7427" max="7681" width="9.140625" style="256"/>
    <col min="7682" max="7682" width="15.140625" style="256" bestFit="1" customWidth="1"/>
    <col min="7683" max="7937" width="9.140625" style="256"/>
    <col min="7938" max="7938" width="15.140625" style="256" bestFit="1" customWidth="1"/>
    <col min="7939" max="8193" width="9.140625" style="256"/>
    <col min="8194" max="8194" width="15.140625" style="256" bestFit="1" customWidth="1"/>
    <col min="8195" max="8449" width="9.140625" style="256"/>
    <col min="8450" max="8450" width="15.140625" style="256" bestFit="1" customWidth="1"/>
    <col min="8451" max="8705" width="9.140625" style="256"/>
    <col min="8706" max="8706" width="15.140625" style="256" bestFit="1" customWidth="1"/>
    <col min="8707" max="8961" width="9.140625" style="256"/>
    <col min="8962" max="8962" width="15.140625" style="256" bestFit="1" customWidth="1"/>
    <col min="8963" max="9217" width="9.140625" style="256"/>
    <col min="9218" max="9218" width="15.140625" style="256" bestFit="1" customWidth="1"/>
    <col min="9219" max="9473" width="9.140625" style="256"/>
    <col min="9474" max="9474" width="15.140625" style="256" bestFit="1" customWidth="1"/>
    <col min="9475" max="9729" width="9.140625" style="256"/>
    <col min="9730" max="9730" width="15.140625" style="256" bestFit="1" customWidth="1"/>
    <col min="9731" max="9985" width="9.140625" style="256"/>
    <col min="9986" max="9986" width="15.140625" style="256" bestFit="1" customWidth="1"/>
    <col min="9987" max="10241" width="9.140625" style="256"/>
    <col min="10242" max="10242" width="15.140625" style="256" bestFit="1" customWidth="1"/>
    <col min="10243" max="10497" width="9.140625" style="256"/>
    <col min="10498" max="10498" width="15.140625" style="256" bestFit="1" customWidth="1"/>
    <col min="10499" max="10753" width="9.140625" style="256"/>
    <col min="10754" max="10754" width="15.140625" style="256" bestFit="1" customWidth="1"/>
    <col min="10755" max="11009" width="9.140625" style="256"/>
    <col min="11010" max="11010" width="15.140625" style="256" bestFit="1" customWidth="1"/>
    <col min="11011" max="11265" width="9.140625" style="256"/>
    <col min="11266" max="11266" width="15.140625" style="256" bestFit="1" customWidth="1"/>
    <col min="11267" max="11521" width="9.140625" style="256"/>
    <col min="11522" max="11522" width="15.140625" style="256" bestFit="1" customWidth="1"/>
    <col min="11523" max="11777" width="9.140625" style="256"/>
    <col min="11778" max="11778" width="15.140625" style="256" bestFit="1" customWidth="1"/>
    <col min="11779" max="12033" width="9.140625" style="256"/>
    <col min="12034" max="12034" width="15.140625" style="256" bestFit="1" customWidth="1"/>
    <col min="12035" max="12289" width="9.140625" style="256"/>
    <col min="12290" max="12290" width="15.140625" style="256" bestFit="1" customWidth="1"/>
    <col min="12291" max="12545" width="9.140625" style="256"/>
    <col min="12546" max="12546" width="15.140625" style="256" bestFit="1" customWidth="1"/>
    <col min="12547" max="12801" width="9.140625" style="256"/>
    <col min="12802" max="12802" width="15.140625" style="256" bestFit="1" customWidth="1"/>
    <col min="12803" max="13057" width="9.140625" style="256"/>
    <col min="13058" max="13058" width="15.140625" style="256" bestFit="1" customWidth="1"/>
    <col min="13059" max="13313" width="9.140625" style="256"/>
    <col min="13314" max="13314" width="15.140625" style="256" bestFit="1" customWidth="1"/>
    <col min="13315" max="13569" width="9.140625" style="256"/>
    <col min="13570" max="13570" width="15.140625" style="256" bestFit="1" customWidth="1"/>
    <col min="13571" max="13825" width="9.140625" style="256"/>
    <col min="13826" max="13826" width="15.140625" style="256" bestFit="1" customWidth="1"/>
    <col min="13827" max="14081" width="9.140625" style="256"/>
    <col min="14082" max="14082" width="15.140625" style="256" bestFit="1" customWidth="1"/>
    <col min="14083" max="14337" width="9.140625" style="256"/>
    <col min="14338" max="14338" width="15.140625" style="256" bestFit="1" customWidth="1"/>
    <col min="14339" max="14593" width="9.140625" style="256"/>
    <col min="14594" max="14594" width="15.140625" style="256" bestFit="1" customWidth="1"/>
    <col min="14595" max="14849" width="9.140625" style="256"/>
    <col min="14850" max="14850" width="15.140625" style="256" bestFit="1" customWidth="1"/>
    <col min="14851" max="15105" width="9.140625" style="256"/>
    <col min="15106" max="15106" width="15.140625" style="256" bestFit="1" customWidth="1"/>
    <col min="15107" max="15361" width="9.140625" style="256"/>
    <col min="15362" max="15362" width="15.140625" style="256" bestFit="1" customWidth="1"/>
    <col min="15363" max="15617" width="9.140625" style="256"/>
    <col min="15618" max="15618" width="15.140625" style="256" bestFit="1" customWidth="1"/>
    <col min="15619" max="15873" width="9.140625" style="256"/>
    <col min="15874" max="15874" width="15.140625" style="256" bestFit="1" customWidth="1"/>
    <col min="15875" max="16129" width="9.140625" style="256"/>
    <col min="16130" max="16130" width="15.140625" style="256" bestFit="1" customWidth="1"/>
    <col min="16131" max="16384" width="9.140625" style="256"/>
  </cols>
  <sheetData>
    <row r="1" spans="1:12" ht="15" x14ac:dyDescent="0.25">
      <c r="A1" s="1" t="s">
        <v>436</v>
      </c>
    </row>
    <row r="2" spans="1:12" ht="15" x14ac:dyDescent="0.25">
      <c r="A2" s="14" t="s">
        <v>437</v>
      </c>
    </row>
    <row r="3" spans="1:12" ht="15" x14ac:dyDescent="0.25">
      <c r="A3" s="14"/>
    </row>
    <row r="4" spans="1:12" ht="13.5" thickBot="1" x14ac:dyDescent="0.25">
      <c r="A4" s="486" t="s">
        <v>473</v>
      </c>
    </row>
    <row r="5" spans="1:12" ht="89.25" x14ac:dyDescent="0.25">
      <c r="A5" s="254" t="s">
        <v>290</v>
      </c>
      <c r="B5" s="255" t="s">
        <v>291</v>
      </c>
      <c r="C5" s="255" t="s">
        <v>292</v>
      </c>
      <c r="D5" s="255" t="s">
        <v>293</v>
      </c>
      <c r="E5" s="255" t="s">
        <v>294</v>
      </c>
      <c r="F5" s="255" t="s">
        <v>295</v>
      </c>
      <c r="G5" s="255" t="s">
        <v>296</v>
      </c>
      <c r="H5" s="255" t="s">
        <v>297</v>
      </c>
      <c r="I5" s="271" t="s">
        <v>298</v>
      </c>
      <c r="J5" s="272" t="s">
        <v>394</v>
      </c>
      <c r="L5" s="371"/>
    </row>
    <row r="6" spans="1:12" ht="15" customHeight="1" x14ac:dyDescent="0.2">
      <c r="A6" s="455"/>
      <c r="B6" s="456"/>
      <c r="C6" s="457"/>
      <c r="D6" s="457"/>
      <c r="E6" s="457"/>
      <c r="F6" s="458"/>
      <c r="G6" s="459"/>
      <c r="H6" s="460"/>
      <c r="I6" s="461"/>
      <c r="J6" s="273"/>
    </row>
    <row r="7" spans="1:12" ht="15" customHeight="1" x14ac:dyDescent="0.2">
      <c r="A7" s="455"/>
      <c r="B7" s="456"/>
      <c r="C7" s="457"/>
      <c r="D7" s="457"/>
      <c r="E7" s="457"/>
      <c r="F7" s="458"/>
      <c r="G7" s="459"/>
      <c r="H7" s="460"/>
      <c r="I7" s="461"/>
      <c r="J7" s="273"/>
    </row>
    <row r="8" spans="1:12" ht="15" customHeight="1" x14ac:dyDescent="0.2">
      <c r="A8" s="455"/>
      <c r="B8" s="456"/>
      <c r="C8" s="457"/>
      <c r="D8" s="457"/>
      <c r="E8" s="457"/>
      <c r="F8" s="458"/>
      <c r="G8" s="462"/>
      <c r="H8" s="460"/>
      <c r="I8" s="461"/>
      <c r="J8" s="273"/>
    </row>
    <row r="9" spans="1:12" ht="15" customHeight="1" x14ac:dyDescent="0.2">
      <c r="A9" s="463"/>
      <c r="B9" s="456"/>
      <c r="C9" s="457"/>
      <c r="D9" s="457"/>
      <c r="E9" s="457"/>
      <c r="F9" s="458"/>
      <c r="G9" s="459"/>
      <c r="H9" s="460"/>
      <c r="I9" s="461"/>
      <c r="J9" s="273"/>
    </row>
    <row r="10" spans="1:12" ht="15" customHeight="1" x14ac:dyDescent="0.2">
      <c r="A10" s="455"/>
      <c r="B10" s="464"/>
      <c r="C10" s="457"/>
      <c r="D10" s="457"/>
      <c r="E10" s="457"/>
      <c r="F10" s="458"/>
      <c r="G10" s="459"/>
      <c r="H10" s="460"/>
      <c r="I10" s="465"/>
      <c r="J10" s="273"/>
    </row>
    <row r="11" spans="1:12" ht="15" customHeight="1" x14ac:dyDescent="0.2">
      <c r="A11" s="455"/>
      <c r="B11" s="464"/>
      <c r="C11" s="457"/>
      <c r="D11" s="457"/>
      <c r="E11" s="457"/>
      <c r="F11" s="458"/>
      <c r="G11" s="459"/>
      <c r="H11" s="460"/>
      <c r="I11" s="461"/>
      <c r="J11" s="273"/>
    </row>
    <row r="12" spans="1:12" ht="15" customHeight="1" x14ac:dyDescent="0.2">
      <c r="A12" s="455"/>
      <c r="B12" s="464"/>
      <c r="C12" s="457"/>
      <c r="D12" s="457"/>
      <c r="E12" s="457"/>
      <c r="F12" s="458"/>
      <c r="G12" s="459"/>
      <c r="H12" s="460"/>
      <c r="I12" s="461"/>
      <c r="J12" s="273"/>
    </row>
    <row r="13" spans="1:12" ht="15" customHeight="1" thickBot="1" x14ac:dyDescent="0.25">
      <c r="A13" s="455"/>
      <c r="B13" s="464"/>
      <c r="C13" s="457"/>
      <c r="D13" s="457"/>
      <c r="E13" s="457"/>
      <c r="F13" s="458"/>
      <c r="G13" s="459"/>
      <c r="H13" s="460"/>
      <c r="I13" s="461"/>
      <c r="J13" s="273"/>
    </row>
    <row r="14" spans="1:12" ht="15" customHeight="1" thickBot="1" x14ac:dyDescent="0.25">
      <c r="A14" s="466" t="s">
        <v>299</v>
      </c>
      <c r="B14" s="467"/>
      <c r="C14" s="468"/>
      <c r="D14" s="467"/>
      <c r="E14" s="468"/>
      <c r="F14" s="468"/>
      <c r="G14" s="468"/>
      <c r="H14" s="469">
        <f>SUM(H6:H13)</f>
        <v>0</v>
      </c>
      <c r="I14" s="470">
        <f>SUM(I6:I13)</f>
        <v>0</v>
      </c>
    </row>
    <row r="15" spans="1:12" ht="15" customHeight="1" x14ac:dyDescent="0.2"/>
    <row r="16" spans="1:12" ht="15" customHeight="1" x14ac:dyDescent="0.2"/>
    <row r="17" spans="1:13" ht="15" customHeight="1" x14ac:dyDescent="0.2">
      <c r="A17" s="340" t="s">
        <v>395</v>
      </c>
      <c r="B17" s="485" t="s">
        <v>3</v>
      </c>
      <c r="F17" s="336"/>
      <c r="G17" s="337"/>
      <c r="H17" s="338"/>
      <c r="I17" s="337"/>
      <c r="J17" s="339"/>
    </row>
    <row r="18" spans="1:13" ht="15" customHeight="1" x14ac:dyDescent="0.2">
      <c r="A18" s="340" t="s">
        <v>396</v>
      </c>
      <c r="B18" s="485" t="s">
        <v>3</v>
      </c>
      <c r="F18" s="336"/>
      <c r="G18" s="337"/>
      <c r="H18" s="338"/>
      <c r="I18" s="337"/>
      <c r="J18" s="257"/>
    </row>
    <row r="21" spans="1:13" ht="15" x14ac:dyDescent="0.25">
      <c r="A21" s="1" t="s">
        <v>438</v>
      </c>
      <c r="B21"/>
      <c r="C21"/>
      <c r="D21"/>
      <c r="E21"/>
      <c r="F21"/>
      <c r="G21"/>
      <c r="H21"/>
      <c r="I21"/>
      <c r="J21"/>
      <c r="K21"/>
      <c r="L21"/>
      <c r="M21"/>
    </row>
    <row r="22" spans="1:13" ht="15" x14ac:dyDescent="0.25">
      <c r="A22" s="1" t="s">
        <v>474</v>
      </c>
      <c r="B22"/>
      <c r="C22"/>
      <c r="D22"/>
    </row>
    <row r="23" spans="1:13" ht="45" x14ac:dyDescent="0.2">
      <c r="A23" s="372" t="s">
        <v>1</v>
      </c>
      <c r="B23" s="372" t="s">
        <v>288</v>
      </c>
      <c r="C23" s="372" t="s">
        <v>385</v>
      </c>
      <c r="D23" s="372" t="s">
        <v>461</v>
      </c>
      <c r="E23" s="373" t="s">
        <v>456</v>
      </c>
    </row>
    <row r="24" spans="1:13" ht="15" x14ac:dyDescent="0.25">
      <c r="A24" s="152">
        <v>1</v>
      </c>
      <c r="B24" s="359"/>
      <c r="C24" s="150"/>
      <c r="D24" s="150"/>
      <c r="E24" s="342"/>
    </row>
    <row r="25" spans="1:13" ht="15" x14ac:dyDescent="0.25">
      <c r="A25" s="152">
        <v>2</v>
      </c>
      <c r="B25" s="359"/>
      <c r="C25" s="150"/>
      <c r="D25" s="150"/>
      <c r="E25" s="342"/>
    </row>
    <row r="26" spans="1:13" ht="15" x14ac:dyDescent="0.25">
      <c r="A26" s="152">
        <v>3</v>
      </c>
      <c r="B26" s="359"/>
      <c r="C26" s="150"/>
      <c r="D26" s="150"/>
      <c r="E26" s="342"/>
    </row>
    <row r="27" spans="1:13" ht="15" x14ac:dyDescent="0.25">
      <c r="A27" s="152">
        <v>4</v>
      </c>
      <c r="B27" s="359"/>
      <c r="C27" s="150"/>
      <c r="D27" s="150"/>
      <c r="E27" s="342"/>
    </row>
    <row r="28" spans="1:13" ht="15" x14ac:dyDescent="0.25">
      <c r="A28" s="152">
        <v>5</v>
      </c>
      <c r="B28" s="359"/>
      <c r="C28" s="150"/>
      <c r="D28" s="150"/>
      <c r="E28" s="342"/>
    </row>
    <row r="29" spans="1:13" ht="15" x14ac:dyDescent="0.25">
      <c r="A29" s="152">
        <v>6</v>
      </c>
      <c r="B29" s="359"/>
      <c r="C29" s="150"/>
      <c r="D29" s="150"/>
      <c r="E29" s="342"/>
    </row>
    <row r="30" spans="1:13" ht="15" x14ac:dyDescent="0.25">
      <c r="A30" s="152">
        <v>7</v>
      </c>
      <c r="B30" s="359"/>
      <c r="C30" s="150"/>
      <c r="D30" s="150"/>
      <c r="E30" s="342"/>
    </row>
    <row r="31" spans="1:13" ht="15" x14ac:dyDescent="0.25">
      <c r="A31" s="152">
        <v>8</v>
      </c>
      <c r="B31" s="359"/>
      <c r="C31" s="150"/>
      <c r="D31" s="150"/>
      <c r="E31" s="342"/>
    </row>
    <row r="32" spans="1:13" ht="15" x14ac:dyDescent="0.25">
      <c r="A32" s="152">
        <v>9</v>
      </c>
      <c r="B32" s="359"/>
      <c r="C32" s="150"/>
      <c r="D32" s="150"/>
      <c r="E32" s="342"/>
    </row>
    <row r="33" spans="1:14" ht="15" x14ac:dyDescent="0.25">
      <c r="A33" s="152">
        <v>10</v>
      </c>
      <c r="B33" s="359"/>
      <c r="C33" s="150"/>
      <c r="D33" s="150"/>
      <c r="E33" s="342"/>
    </row>
    <row r="34" spans="1:14" ht="15" x14ac:dyDescent="0.25">
      <c r="A34" s="152">
        <v>11</v>
      </c>
      <c r="B34" s="359"/>
      <c r="C34" s="150"/>
      <c r="D34" s="150"/>
      <c r="E34" s="342"/>
    </row>
    <row r="35" spans="1:14" ht="15" x14ac:dyDescent="0.25">
      <c r="A35" s="152">
        <v>12</v>
      </c>
      <c r="B35" s="359"/>
      <c r="C35" s="150"/>
      <c r="D35" s="150"/>
      <c r="E35" s="342"/>
    </row>
    <row r="36" spans="1:14" ht="15" x14ac:dyDescent="0.25">
      <c r="A36" s="152">
        <v>13</v>
      </c>
      <c r="B36" s="359"/>
      <c r="C36" s="150"/>
      <c r="D36" s="150"/>
      <c r="E36" s="342"/>
    </row>
    <row r="37" spans="1:14" ht="15" x14ac:dyDescent="0.25">
      <c r="A37" s="152">
        <v>14</v>
      </c>
      <c r="B37" s="359"/>
      <c r="C37" s="150"/>
      <c r="D37" s="150"/>
      <c r="E37" s="342"/>
    </row>
    <row r="38" spans="1:14" ht="15" x14ac:dyDescent="0.25">
      <c r="A38" s="152">
        <v>15</v>
      </c>
      <c r="B38" s="359"/>
      <c r="C38" s="150"/>
      <c r="D38" s="150"/>
      <c r="E38" s="342"/>
    </row>
    <row r="39" spans="1:14" ht="15" x14ac:dyDescent="0.25">
      <c r="A39" s="152">
        <v>16</v>
      </c>
      <c r="B39" s="359"/>
      <c r="C39" s="150"/>
      <c r="D39" s="150"/>
      <c r="E39" s="342"/>
    </row>
    <row r="40" spans="1:14" ht="15" x14ac:dyDescent="0.25">
      <c r="A40" s="152">
        <v>17</v>
      </c>
      <c r="B40" s="359"/>
      <c r="C40" s="150"/>
      <c r="D40" s="150"/>
      <c r="E40" s="342"/>
    </row>
    <row r="41" spans="1:14" ht="15" x14ac:dyDescent="0.25">
      <c r="A41" s="152">
        <v>18</v>
      </c>
      <c r="B41" s="359"/>
      <c r="C41" s="150"/>
      <c r="D41" s="150"/>
      <c r="E41" s="342"/>
    </row>
    <row r="42" spans="1:14" ht="15" x14ac:dyDescent="0.25">
      <c r="A42" s="152">
        <v>19</v>
      </c>
      <c r="B42" s="359"/>
      <c r="C42" s="150"/>
      <c r="D42" s="150"/>
      <c r="E42" s="342"/>
    </row>
    <row r="43" spans="1:14" ht="15" x14ac:dyDescent="0.25">
      <c r="A43" s="152">
        <v>20</v>
      </c>
      <c r="B43" s="359"/>
      <c r="C43" s="150"/>
      <c r="D43" s="150"/>
      <c r="E43" s="342"/>
    </row>
    <row r="44" spans="1:14" ht="15" x14ac:dyDescent="0.25">
      <c r="A44" s="152">
        <v>21</v>
      </c>
      <c r="B44" s="359"/>
      <c r="C44" s="150"/>
      <c r="D44" s="150"/>
      <c r="E44" s="342"/>
    </row>
    <row r="45" spans="1:14" ht="15" x14ac:dyDescent="0.25">
      <c r="A45"/>
      <c r="B45"/>
      <c r="C45"/>
      <c r="D45"/>
    </row>
    <row r="46" spans="1:14" x14ac:dyDescent="0.2">
      <c r="A46" s="487" t="s">
        <v>457</v>
      </c>
      <c r="B46" s="439"/>
      <c r="C46" s="439"/>
      <c r="D46" s="439"/>
      <c r="E46" s="439"/>
      <c r="F46" s="439"/>
      <c r="G46" s="439"/>
      <c r="H46" s="439"/>
      <c r="I46" s="439"/>
      <c r="J46" s="439"/>
      <c r="K46" s="439"/>
      <c r="L46" s="439"/>
      <c r="M46" s="439"/>
      <c r="N46" s="440"/>
    </row>
    <row r="47" spans="1:14" x14ac:dyDescent="0.2">
      <c r="A47" s="441"/>
      <c r="B47" s="442"/>
      <c r="C47" s="442"/>
      <c r="D47" s="442"/>
      <c r="E47" s="442"/>
      <c r="F47" s="442"/>
      <c r="G47" s="442"/>
      <c r="H47" s="442"/>
      <c r="I47" s="442"/>
      <c r="J47" s="442"/>
      <c r="K47" s="442"/>
      <c r="L47" s="442"/>
      <c r="M47" s="442"/>
      <c r="N47" s="443"/>
    </row>
    <row r="48" spans="1:14" x14ac:dyDescent="0.2">
      <c r="A48" s="441"/>
      <c r="B48" s="442"/>
      <c r="C48" s="442"/>
      <c r="D48" s="442"/>
      <c r="E48" s="442"/>
      <c r="F48" s="442"/>
      <c r="G48" s="442"/>
      <c r="H48" s="442"/>
      <c r="I48" s="442"/>
      <c r="J48" s="442"/>
      <c r="K48" s="442"/>
      <c r="L48" s="442"/>
      <c r="M48" s="442"/>
      <c r="N48" s="443"/>
    </row>
    <row r="49" spans="1:14" x14ac:dyDescent="0.2">
      <c r="A49" s="441"/>
      <c r="B49" s="442"/>
      <c r="C49" s="442"/>
      <c r="D49" s="442"/>
      <c r="E49" s="442"/>
      <c r="F49" s="442"/>
      <c r="G49" s="442"/>
      <c r="H49" s="442"/>
      <c r="I49" s="442"/>
      <c r="J49" s="442"/>
      <c r="K49" s="442"/>
      <c r="L49" s="442"/>
      <c r="M49" s="442"/>
      <c r="N49" s="443"/>
    </row>
    <row r="50" spans="1:14" x14ac:dyDescent="0.2">
      <c r="A50" s="441"/>
      <c r="B50" s="442"/>
      <c r="C50" s="442"/>
      <c r="D50" s="442"/>
      <c r="E50" s="442"/>
      <c r="F50" s="442"/>
      <c r="G50" s="442"/>
      <c r="H50" s="442"/>
      <c r="I50" s="442"/>
      <c r="J50" s="442"/>
      <c r="K50" s="442"/>
      <c r="L50" s="442"/>
      <c r="M50" s="442"/>
      <c r="N50" s="443"/>
    </row>
    <row r="51" spans="1:14" x14ac:dyDescent="0.2">
      <c r="A51" s="441"/>
      <c r="B51" s="442"/>
      <c r="C51" s="442"/>
      <c r="D51" s="442"/>
      <c r="E51" s="442"/>
      <c r="F51" s="442"/>
      <c r="G51" s="442"/>
      <c r="H51" s="442"/>
      <c r="I51" s="442"/>
      <c r="J51" s="442"/>
      <c r="K51" s="442"/>
      <c r="L51" s="442"/>
      <c r="M51" s="442"/>
      <c r="N51" s="443"/>
    </row>
    <row r="52" spans="1:14" x14ac:dyDescent="0.2">
      <c r="A52" s="441"/>
      <c r="B52" s="442"/>
      <c r="C52" s="442"/>
      <c r="D52" s="442"/>
      <c r="E52" s="442"/>
      <c r="F52" s="442"/>
      <c r="G52" s="442"/>
      <c r="H52" s="442"/>
      <c r="I52" s="442"/>
      <c r="J52" s="442"/>
      <c r="K52" s="442"/>
      <c r="L52" s="442"/>
      <c r="M52" s="442"/>
      <c r="N52" s="443"/>
    </row>
    <row r="53" spans="1:14" x14ac:dyDescent="0.2">
      <c r="A53" s="441"/>
      <c r="B53" s="442"/>
      <c r="C53" s="442"/>
      <c r="D53" s="442"/>
      <c r="E53" s="442"/>
      <c r="F53" s="442"/>
      <c r="G53" s="442"/>
      <c r="H53" s="442"/>
      <c r="I53" s="442"/>
      <c r="J53" s="442"/>
      <c r="K53" s="442"/>
      <c r="L53" s="442"/>
      <c r="M53" s="442"/>
      <c r="N53" s="443"/>
    </row>
    <row r="54" spans="1:14" x14ac:dyDescent="0.2">
      <c r="A54" s="441"/>
      <c r="B54" s="442"/>
      <c r="C54" s="442"/>
      <c r="D54" s="442"/>
      <c r="E54" s="442"/>
      <c r="F54" s="442"/>
      <c r="G54" s="442"/>
      <c r="H54" s="442"/>
      <c r="I54" s="442"/>
      <c r="J54" s="442"/>
      <c r="K54" s="442"/>
      <c r="L54" s="442"/>
      <c r="M54" s="442"/>
      <c r="N54" s="443"/>
    </row>
    <row r="55" spans="1:14" x14ac:dyDescent="0.2">
      <c r="A55" s="441"/>
      <c r="B55" s="442"/>
      <c r="C55" s="442"/>
      <c r="D55" s="442"/>
      <c r="E55" s="442"/>
      <c r="F55" s="442"/>
      <c r="G55" s="442"/>
      <c r="H55" s="442"/>
      <c r="I55" s="442"/>
      <c r="J55" s="442"/>
      <c r="K55" s="442"/>
      <c r="L55" s="442"/>
      <c r="M55" s="442"/>
      <c r="N55" s="443"/>
    </row>
    <row r="56" spans="1:14" x14ac:dyDescent="0.2">
      <c r="A56" s="441"/>
      <c r="B56" s="442"/>
      <c r="C56" s="442"/>
      <c r="D56" s="442"/>
      <c r="E56" s="442"/>
      <c r="F56" s="442"/>
      <c r="G56" s="442"/>
      <c r="H56" s="442"/>
      <c r="I56" s="442"/>
      <c r="J56" s="442"/>
      <c r="K56" s="442"/>
      <c r="L56" s="442"/>
      <c r="M56" s="442"/>
      <c r="N56" s="443"/>
    </row>
    <row r="57" spans="1:14" x14ac:dyDescent="0.2">
      <c r="A57" s="441"/>
      <c r="B57" s="442"/>
      <c r="C57" s="442"/>
      <c r="D57" s="442"/>
      <c r="E57" s="442"/>
      <c r="F57" s="442"/>
      <c r="G57" s="442"/>
      <c r="H57" s="442"/>
      <c r="I57" s="442"/>
      <c r="J57" s="442"/>
      <c r="K57" s="442"/>
      <c r="L57" s="442"/>
      <c r="M57" s="442"/>
      <c r="N57" s="443"/>
    </row>
    <row r="58" spans="1:14" x14ac:dyDescent="0.2">
      <c r="A58" s="441"/>
      <c r="B58" s="442"/>
      <c r="C58" s="442"/>
      <c r="D58" s="442"/>
      <c r="E58" s="442"/>
      <c r="F58" s="442"/>
      <c r="G58" s="442"/>
      <c r="H58" s="442"/>
      <c r="I58" s="442"/>
      <c r="J58" s="442"/>
      <c r="K58" s="442"/>
      <c r="L58" s="442"/>
      <c r="M58" s="442"/>
      <c r="N58" s="443"/>
    </row>
    <row r="59" spans="1:14" x14ac:dyDescent="0.2">
      <c r="A59" s="441"/>
      <c r="B59" s="442"/>
      <c r="C59" s="442"/>
      <c r="D59" s="442"/>
      <c r="E59" s="442"/>
      <c r="F59" s="442"/>
      <c r="G59" s="442"/>
      <c r="H59" s="442"/>
      <c r="I59" s="442"/>
      <c r="J59" s="442"/>
      <c r="K59" s="442"/>
      <c r="L59" s="442"/>
      <c r="M59" s="442"/>
      <c r="N59" s="443"/>
    </row>
    <row r="60" spans="1:14" x14ac:dyDescent="0.2">
      <c r="A60" s="441"/>
      <c r="B60" s="442"/>
      <c r="C60" s="442"/>
      <c r="D60" s="442"/>
      <c r="E60" s="442"/>
      <c r="F60" s="442"/>
      <c r="G60" s="442"/>
      <c r="H60" s="442"/>
      <c r="I60" s="442"/>
      <c r="J60" s="442"/>
      <c r="K60" s="442"/>
      <c r="L60" s="442"/>
      <c r="M60" s="442"/>
      <c r="N60" s="443"/>
    </row>
    <row r="61" spans="1:14" x14ac:dyDescent="0.2">
      <c r="A61" s="441"/>
      <c r="B61" s="442"/>
      <c r="C61" s="442"/>
      <c r="D61" s="442"/>
      <c r="E61" s="442"/>
      <c r="F61" s="442"/>
      <c r="G61" s="442"/>
      <c r="H61" s="442"/>
      <c r="I61" s="442"/>
      <c r="J61" s="442"/>
      <c r="K61" s="442"/>
      <c r="L61" s="442"/>
      <c r="M61" s="442"/>
      <c r="N61" s="443"/>
    </row>
    <row r="62" spans="1:14" x14ac:dyDescent="0.2">
      <c r="A62" s="441"/>
      <c r="B62" s="442"/>
      <c r="C62" s="442"/>
      <c r="D62" s="442"/>
      <c r="E62" s="442"/>
      <c r="F62" s="442"/>
      <c r="G62" s="442"/>
      <c r="H62" s="442"/>
      <c r="I62" s="442"/>
      <c r="J62" s="442"/>
      <c r="K62" s="442"/>
      <c r="L62" s="442"/>
      <c r="M62" s="442"/>
      <c r="N62" s="443"/>
    </row>
    <row r="63" spans="1:14" x14ac:dyDescent="0.2">
      <c r="A63" s="441"/>
      <c r="B63" s="442"/>
      <c r="C63" s="442"/>
      <c r="D63" s="442"/>
      <c r="E63" s="442"/>
      <c r="F63" s="442"/>
      <c r="G63" s="442"/>
      <c r="H63" s="442"/>
      <c r="I63" s="442"/>
      <c r="J63" s="442"/>
      <c r="K63" s="442"/>
      <c r="L63" s="442"/>
      <c r="M63" s="442"/>
      <c r="N63" s="443"/>
    </row>
    <row r="64" spans="1:14" x14ac:dyDescent="0.2">
      <c r="A64" s="441"/>
      <c r="B64" s="442"/>
      <c r="C64" s="442"/>
      <c r="D64" s="442"/>
      <c r="E64" s="442"/>
      <c r="F64" s="442"/>
      <c r="G64" s="442"/>
      <c r="H64" s="442"/>
      <c r="I64" s="442"/>
      <c r="J64" s="442"/>
      <c r="K64" s="442"/>
      <c r="L64" s="442"/>
      <c r="M64" s="442"/>
      <c r="N64" s="443"/>
    </row>
    <row r="65" spans="1:14" x14ac:dyDescent="0.2">
      <c r="A65" s="441"/>
      <c r="B65" s="442"/>
      <c r="C65" s="442"/>
      <c r="D65" s="442"/>
      <c r="E65" s="442"/>
      <c r="F65" s="442"/>
      <c r="G65" s="442"/>
      <c r="H65" s="442"/>
      <c r="I65" s="442"/>
      <c r="J65" s="442"/>
      <c r="K65" s="442"/>
      <c r="L65" s="442"/>
      <c r="M65" s="442"/>
      <c r="N65" s="443"/>
    </row>
    <row r="66" spans="1:14" x14ac:dyDescent="0.2">
      <c r="A66" s="441"/>
      <c r="B66" s="442"/>
      <c r="C66" s="442"/>
      <c r="D66" s="442"/>
      <c r="E66" s="442"/>
      <c r="F66" s="442"/>
      <c r="G66" s="442"/>
      <c r="H66" s="442"/>
      <c r="I66" s="442"/>
      <c r="J66" s="442"/>
      <c r="K66" s="442"/>
      <c r="L66" s="442"/>
      <c r="M66" s="442"/>
      <c r="N66" s="443"/>
    </row>
    <row r="67" spans="1:14" x14ac:dyDescent="0.2">
      <c r="A67" s="441"/>
      <c r="B67" s="442"/>
      <c r="C67" s="442"/>
      <c r="D67" s="442"/>
      <c r="E67" s="442"/>
      <c r="F67" s="442"/>
      <c r="G67" s="442"/>
      <c r="H67" s="442"/>
      <c r="I67" s="442"/>
      <c r="J67" s="442"/>
      <c r="K67" s="442"/>
      <c r="L67" s="442"/>
      <c r="M67" s="442"/>
      <c r="N67" s="443"/>
    </row>
    <row r="68" spans="1:14" x14ac:dyDescent="0.2">
      <c r="A68" s="441"/>
      <c r="B68" s="442"/>
      <c r="C68" s="442"/>
      <c r="D68" s="442"/>
      <c r="E68" s="442"/>
      <c r="F68" s="442"/>
      <c r="G68" s="442"/>
      <c r="H68" s="442"/>
      <c r="I68" s="442"/>
      <c r="J68" s="442"/>
      <c r="K68" s="442"/>
      <c r="L68" s="442"/>
      <c r="M68" s="442"/>
      <c r="N68" s="443"/>
    </row>
    <row r="69" spans="1:14" x14ac:dyDescent="0.2">
      <c r="A69" s="441"/>
      <c r="B69" s="442"/>
      <c r="C69" s="442"/>
      <c r="D69" s="442"/>
      <c r="E69" s="442"/>
      <c r="F69" s="442"/>
      <c r="G69" s="442"/>
      <c r="H69" s="442"/>
      <c r="I69" s="442"/>
      <c r="J69" s="442"/>
      <c r="K69" s="442"/>
      <c r="L69" s="442"/>
      <c r="M69" s="442"/>
      <c r="N69" s="443"/>
    </row>
    <row r="70" spans="1:14" x14ac:dyDescent="0.2">
      <c r="A70" s="441"/>
      <c r="B70" s="442"/>
      <c r="C70" s="442"/>
      <c r="D70" s="442"/>
      <c r="E70" s="442"/>
      <c r="F70" s="442"/>
      <c r="G70" s="442"/>
      <c r="H70" s="442"/>
      <c r="I70" s="442"/>
      <c r="J70" s="442"/>
      <c r="K70" s="442"/>
      <c r="L70" s="442"/>
      <c r="M70" s="442"/>
      <c r="N70" s="443"/>
    </row>
    <row r="71" spans="1:14" x14ac:dyDescent="0.2">
      <c r="A71" s="441"/>
      <c r="B71" s="442"/>
      <c r="C71" s="442"/>
      <c r="D71" s="442"/>
      <c r="E71" s="442"/>
      <c r="F71" s="442"/>
      <c r="G71" s="442"/>
      <c r="H71" s="442"/>
      <c r="I71" s="442"/>
      <c r="J71" s="442"/>
      <c r="K71" s="442"/>
      <c r="L71" s="442"/>
      <c r="M71" s="442"/>
      <c r="N71" s="443"/>
    </row>
    <row r="72" spans="1:14" x14ac:dyDescent="0.2">
      <c r="A72" s="441"/>
      <c r="B72" s="442"/>
      <c r="C72" s="442"/>
      <c r="D72" s="442"/>
      <c r="E72" s="442"/>
      <c r="F72" s="442"/>
      <c r="G72" s="442"/>
      <c r="H72" s="442"/>
      <c r="I72" s="442"/>
      <c r="J72" s="442"/>
      <c r="K72" s="442"/>
      <c r="L72" s="442"/>
      <c r="M72" s="442"/>
      <c r="N72" s="443"/>
    </row>
    <row r="73" spans="1:14" x14ac:dyDescent="0.2">
      <c r="A73" s="441"/>
      <c r="B73" s="442"/>
      <c r="C73" s="442"/>
      <c r="D73" s="442"/>
      <c r="E73" s="442"/>
      <c r="F73" s="442"/>
      <c r="G73" s="442"/>
      <c r="H73" s="442"/>
      <c r="I73" s="442"/>
      <c r="J73" s="442"/>
      <c r="K73" s="442"/>
      <c r="L73" s="442"/>
      <c r="M73" s="442"/>
      <c r="N73" s="443"/>
    </row>
    <row r="74" spans="1:14" x14ac:dyDescent="0.2">
      <c r="A74" s="441"/>
      <c r="B74" s="442"/>
      <c r="C74" s="442"/>
      <c r="D74" s="442"/>
      <c r="E74" s="442"/>
      <c r="F74" s="442"/>
      <c r="G74" s="442"/>
      <c r="H74" s="442"/>
      <c r="I74" s="442"/>
      <c r="J74" s="442"/>
      <c r="K74" s="442"/>
      <c r="L74" s="442"/>
      <c r="M74" s="442"/>
      <c r="N74" s="443"/>
    </row>
    <row r="75" spans="1:14" x14ac:dyDescent="0.2">
      <c r="A75" s="441"/>
      <c r="B75" s="442"/>
      <c r="C75" s="442"/>
      <c r="D75" s="442"/>
      <c r="E75" s="442"/>
      <c r="F75" s="442"/>
      <c r="G75" s="442"/>
      <c r="H75" s="442"/>
      <c r="I75" s="442"/>
      <c r="J75" s="442"/>
      <c r="K75" s="442"/>
      <c r="L75" s="442"/>
      <c r="M75" s="442"/>
      <c r="N75" s="443"/>
    </row>
    <row r="76" spans="1:14" x14ac:dyDescent="0.2">
      <c r="A76" s="444"/>
      <c r="B76" s="445"/>
      <c r="C76" s="445"/>
      <c r="D76" s="445"/>
      <c r="E76" s="445"/>
      <c r="F76" s="445"/>
      <c r="G76" s="445"/>
      <c r="H76" s="445"/>
      <c r="I76" s="445"/>
      <c r="J76" s="445"/>
      <c r="K76" s="445"/>
      <c r="L76" s="445"/>
      <c r="M76" s="445"/>
      <c r="N76" s="446"/>
    </row>
  </sheetData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'Lookup Values'!$O$3:$O$90</xm:f>
          </x14:formula1>
          <xm:sqref>B17</xm:sqref>
        </x14:dataValidation>
        <x14:dataValidation type="list" allowBlank="1" showInputMessage="1" showErrorMessage="1">
          <x14:formula1>
            <xm:f>'Lookup Values'!$O$3:O$90</xm:f>
          </x14:formula1>
          <xm:sqref>B18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0"/>
  <sheetViews>
    <sheetView zoomScale="110" zoomScaleNormal="110" workbookViewId="0">
      <selection activeCell="H11" sqref="H11"/>
    </sheetView>
  </sheetViews>
  <sheetFormatPr defaultRowHeight="15" x14ac:dyDescent="0.25"/>
  <cols>
    <col min="1" max="1" width="2.140625" style="491" customWidth="1"/>
    <col min="2" max="2" width="9.140625" style="491"/>
    <col min="3" max="3" width="21.7109375" style="491" customWidth="1"/>
    <col min="4" max="4" width="11.7109375" style="491" customWidth="1"/>
    <col min="5" max="5" width="11.5703125" style="491" customWidth="1"/>
    <col min="6" max="6" width="15.140625" style="491" customWidth="1"/>
    <col min="7" max="7" width="12.5703125" style="491" customWidth="1"/>
    <col min="8" max="9" width="8.7109375" style="491" customWidth="1"/>
    <col min="10" max="10" width="14.7109375" style="491" customWidth="1"/>
    <col min="11" max="11" width="12.85546875" style="491" customWidth="1"/>
    <col min="12" max="12" width="14.5703125" style="491" customWidth="1"/>
    <col min="13" max="13" width="12.42578125" style="491" customWidth="1"/>
    <col min="14" max="14" width="12.140625" style="491" customWidth="1"/>
    <col min="15" max="15" width="1.5703125" style="491" customWidth="1"/>
    <col min="16" max="24" width="8.7109375" style="491" customWidth="1"/>
    <col min="25" max="16384" width="9.140625" style="491"/>
  </cols>
  <sheetData>
    <row r="1" spans="1:21" ht="7.5" customHeight="1" thickBot="1" x14ac:dyDescent="0.3">
      <c r="A1" s="488"/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90"/>
    </row>
    <row r="2" spans="1:21" ht="18.75" x14ac:dyDescent="0.3">
      <c r="A2" s="492"/>
      <c r="B2" s="493" t="s">
        <v>32</v>
      </c>
      <c r="C2" s="494"/>
      <c r="D2" s="702">
        <f>'Planning - Stratification'!B4</f>
        <v>0</v>
      </c>
      <c r="E2" s="702"/>
      <c r="F2" s="703"/>
      <c r="G2" s="495"/>
      <c r="H2" s="495"/>
      <c r="I2" s="496" t="s">
        <v>386</v>
      </c>
      <c r="J2" s="495"/>
      <c r="K2" s="495"/>
      <c r="L2" s="495"/>
      <c r="M2" s="495"/>
      <c r="N2" s="495"/>
      <c r="O2" s="497"/>
      <c r="U2" s="498"/>
    </row>
    <row r="3" spans="1:21" ht="18.75" x14ac:dyDescent="0.3">
      <c r="A3" s="492"/>
      <c r="B3" s="499" t="s">
        <v>33</v>
      </c>
      <c r="C3" s="500"/>
      <c r="D3" s="707"/>
      <c r="E3" s="707"/>
      <c r="F3" s="708"/>
      <c r="G3" s="495"/>
      <c r="H3" s="495"/>
      <c r="I3" s="501" t="s">
        <v>388</v>
      </c>
      <c r="J3" s="495"/>
      <c r="K3" s="495"/>
      <c r="L3" s="495"/>
      <c r="M3" s="495"/>
      <c r="N3" s="495"/>
      <c r="O3" s="497"/>
    </row>
    <row r="4" spans="1:21" x14ac:dyDescent="0.25">
      <c r="A4" s="492"/>
      <c r="B4" s="499" t="s">
        <v>373</v>
      </c>
      <c r="C4" s="500"/>
      <c r="D4" s="707"/>
      <c r="E4" s="707"/>
      <c r="F4" s="708"/>
      <c r="G4" s="495"/>
      <c r="H4" s="495"/>
      <c r="I4" s="502" t="s">
        <v>439</v>
      </c>
      <c r="J4" s="495"/>
      <c r="K4" s="495"/>
      <c r="L4" s="495"/>
      <c r="M4" s="495"/>
      <c r="N4" s="495"/>
      <c r="O4" s="497"/>
    </row>
    <row r="5" spans="1:21" x14ac:dyDescent="0.25">
      <c r="A5" s="492"/>
      <c r="B5" s="499" t="s">
        <v>34</v>
      </c>
      <c r="C5" s="500"/>
      <c r="D5" s="704"/>
      <c r="E5" s="705"/>
      <c r="F5" s="706"/>
      <c r="G5" s="495"/>
      <c r="H5" s="495"/>
      <c r="I5" s="495"/>
      <c r="J5" s="495"/>
      <c r="K5" s="495"/>
      <c r="L5" s="495"/>
      <c r="M5" s="495"/>
      <c r="N5" s="495"/>
      <c r="O5" s="497"/>
    </row>
    <row r="6" spans="1:21" x14ac:dyDescent="0.25">
      <c r="A6" s="492"/>
      <c r="B6" s="499" t="s">
        <v>37</v>
      </c>
      <c r="C6" s="500"/>
      <c r="D6" s="695">
        <f>'Planning - Stratification'!B8</f>
        <v>0</v>
      </c>
      <c r="E6" s="695"/>
      <c r="F6" s="696"/>
      <c r="G6" s="495"/>
      <c r="H6" s="495"/>
      <c r="I6" s="495"/>
      <c r="J6" s="495"/>
      <c r="K6" s="495"/>
      <c r="L6" s="495"/>
      <c r="M6" s="495"/>
      <c r="N6" s="495"/>
      <c r="O6" s="497"/>
    </row>
    <row r="7" spans="1:21" x14ac:dyDescent="0.25">
      <c r="A7" s="492"/>
      <c r="B7" s="499" t="s">
        <v>38</v>
      </c>
      <c r="C7" s="500"/>
      <c r="D7" s="701">
        <f>'Planning - Stratification'!B6</f>
        <v>0</v>
      </c>
      <c r="E7" s="695"/>
      <c r="F7" s="696"/>
      <c r="G7" s="495"/>
      <c r="H7" s="495"/>
      <c r="I7" s="495"/>
      <c r="J7" s="495"/>
      <c r="K7" s="495"/>
      <c r="L7" s="495"/>
      <c r="M7" s="495"/>
      <c r="N7" s="495"/>
      <c r="O7" s="497"/>
    </row>
    <row r="8" spans="1:21" x14ac:dyDescent="0.25">
      <c r="A8" s="492"/>
      <c r="B8" s="499" t="s">
        <v>351</v>
      </c>
      <c r="C8" s="500"/>
      <c r="D8" s="695">
        <f>'Planning - Stratification'!B11</f>
        <v>0</v>
      </c>
      <c r="E8" s="695"/>
      <c r="F8" s="696"/>
      <c r="G8" s="503"/>
      <c r="H8" s="495"/>
      <c r="I8" s="495"/>
      <c r="J8" s="495"/>
      <c r="K8" s="495"/>
      <c r="L8" s="495"/>
      <c r="M8" s="495"/>
      <c r="N8" s="495"/>
      <c r="O8" s="497"/>
    </row>
    <row r="9" spans="1:21" x14ac:dyDescent="0.25">
      <c r="A9" s="492"/>
      <c r="B9" s="499" t="s">
        <v>5</v>
      </c>
      <c r="C9" s="500"/>
      <c r="D9" s="695">
        <f>'Planning - Stratification'!B12</f>
        <v>0</v>
      </c>
      <c r="E9" s="695"/>
      <c r="F9" s="696"/>
      <c r="G9" s="495"/>
      <c r="H9" s="495"/>
      <c r="I9" s="495"/>
      <c r="J9" s="495"/>
      <c r="K9" s="495"/>
      <c r="L9" s="495"/>
      <c r="M9" s="495"/>
      <c r="N9" s="504"/>
      <c r="O9" s="497"/>
      <c r="T9" s="505"/>
    </row>
    <row r="10" spans="1:21" x14ac:dyDescent="0.25">
      <c r="A10" s="492"/>
      <c r="B10" s="499" t="s">
        <v>463</v>
      </c>
      <c r="C10" s="500"/>
      <c r="D10" s="697">
        <f>PI()*D8^2/10000</f>
        <v>0</v>
      </c>
      <c r="E10" s="695"/>
      <c r="F10" s="696"/>
      <c r="G10" s="495"/>
      <c r="H10" s="495"/>
      <c r="I10" s="495"/>
      <c r="J10" s="495"/>
      <c r="K10" s="495"/>
      <c r="L10" s="495"/>
      <c r="M10" s="495"/>
      <c r="N10" s="504"/>
      <c r="O10" s="497"/>
      <c r="T10" s="505"/>
    </row>
    <row r="11" spans="1:21" ht="15.75" thickBot="1" x14ac:dyDescent="0.3">
      <c r="A11" s="492"/>
      <c r="B11" s="506" t="s">
        <v>464</v>
      </c>
      <c r="C11" s="507"/>
      <c r="D11" s="698">
        <f>D10*D9</f>
        <v>0</v>
      </c>
      <c r="E11" s="699"/>
      <c r="F11" s="700"/>
      <c r="G11" s="495"/>
      <c r="H11" s="495"/>
      <c r="I11" s="495"/>
      <c r="J11" s="495"/>
      <c r="K11" s="495"/>
      <c r="L11" s="495"/>
      <c r="M11" s="495"/>
      <c r="N11" s="495"/>
      <c r="O11" s="497"/>
    </row>
    <row r="12" spans="1:21" ht="15" customHeight="1" x14ac:dyDescent="0.25">
      <c r="A12" s="492"/>
      <c r="B12" s="508"/>
      <c r="C12" s="495"/>
      <c r="D12" s="495"/>
      <c r="E12" s="495"/>
      <c r="F12" s="495"/>
      <c r="G12" s="495"/>
      <c r="H12" s="495"/>
      <c r="I12" s="495"/>
      <c r="J12" s="495"/>
      <c r="K12" s="495"/>
      <c r="L12" s="495"/>
      <c r="M12" s="495"/>
      <c r="N12" s="495"/>
      <c r="O12" s="497"/>
    </row>
    <row r="13" spans="1:21" ht="19.5" thickBot="1" x14ac:dyDescent="0.35">
      <c r="A13" s="492"/>
      <c r="B13" s="496" t="s">
        <v>39</v>
      </c>
      <c r="C13" s="495"/>
      <c r="D13" s="509" t="s">
        <v>337</v>
      </c>
      <c r="E13" s="495"/>
      <c r="F13" s="495"/>
      <c r="G13" s="495"/>
      <c r="H13" s="495"/>
      <c r="I13" s="496" t="s">
        <v>40</v>
      </c>
      <c r="J13" s="508"/>
      <c r="K13" s="509" t="s">
        <v>337</v>
      </c>
      <c r="L13" s="508"/>
      <c r="M13" s="508"/>
      <c r="N13" s="508"/>
      <c r="O13" s="510"/>
    </row>
    <row r="14" spans="1:21" ht="31.5" customHeight="1" x14ac:dyDescent="0.25">
      <c r="A14" s="492"/>
      <c r="B14" s="686" t="s">
        <v>35</v>
      </c>
      <c r="C14" s="688" t="s">
        <v>330</v>
      </c>
      <c r="D14" s="690" t="s">
        <v>287</v>
      </c>
      <c r="E14" s="511" t="s">
        <v>383</v>
      </c>
      <c r="F14" s="512"/>
      <c r="G14" s="513"/>
      <c r="H14" s="495"/>
      <c r="I14" s="686" t="s">
        <v>35</v>
      </c>
      <c r="J14" s="688" t="s">
        <v>325</v>
      </c>
      <c r="K14" s="690" t="s">
        <v>287</v>
      </c>
      <c r="L14" s="511" t="s">
        <v>384</v>
      </c>
      <c r="M14" s="514"/>
      <c r="N14" s="515"/>
      <c r="O14" s="497"/>
    </row>
    <row r="15" spans="1:21" ht="15" customHeight="1" x14ac:dyDescent="0.25">
      <c r="A15" s="492"/>
      <c r="B15" s="687"/>
      <c r="C15" s="689"/>
      <c r="D15" s="691"/>
      <c r="E15" s="516">
        <v>1</v>
      </c>
      <c r="F15" s="517">
        <v>2</v>
      </c>
      <c r="G15" s="518">
        <v>3</v>
      </c>
      <c r="H15" s="495"/>
      <c r="I15" s="692"/>
      <c r="J15" s="693"/>
      <c r="K15" s="694"/>
      <c r="L15" s="516">
        <v>1</v>
      </c>
      <c r="M15" s="517">
        <v>2</v>
      </c>
      <c r="N15" s="518">
        <v>3</v>
      </c>
      <c r="O15" s="497"/>
    </row>
    <row r="16" spans="1:21" x14ac:dyDescent="0.25">
      <c r="A16" s="492"/>
      <c r="B16" s="519">
        <v>1</v>
      </c>
      <c r="C16" s="564"/>
      <c r="D16" s="565"/>
      <c r="E16" s="566"/>
      <c r="F16" s="566"/>
      <c r="G16" s="567"/>
      <c r="H16" s="495"/>
      <c r="I16" s="519">
        <v>1</v>
      </c>
      <c r="J16" s="565"/>
      <c r="K16" s="565"/>
      <c r="L16" s="565"/>
      <c r="M16" s="565"/>
      <c r="N16" s="572"/>
      <c r="O16" s="497"/>
    </row>
    <row r="17" spans="1:15" x14ac:dyDescent="0.25">
      <c r="A17" s="492"/>
      <c r="B17" s="519">
        <v>2</v>
      </c>
      <c r="C17" s="564"/>
      <c r="D17" s="565"/>
      <c r="E17" s="566"/>
      <c r="F17" s="566"/>
      <c r="G17" s="567"/>
      <c r="H17" s="495"/>
      <c r="I17" s="519">
        <v>2</v>
      </c>
      <c r="J17" s="565"/>
      <c r="K17" s="565"/>
      <c r="L17" s="565"/>
      <c r="M17" s="565"/>
      <c r="N17" s="572"/>
      <c r="O17" s="497"/>
    </row>
    <row r="18" spans="1:15" x14ac:dyDescent="0.25">
      <c r="A18" s="492"/>
      <c r="B18" s="519">
        <v>3</v>
      </c>
      <c r="C18" s="564"/>
      <c r="D18" s="565"/>
      <c r="E18" s="566"/>
      <c r="F18" s="566"/>
      <c r="G18" s="567"/>
      <c r="H18" s="495"/>
      <c r="I18" s="519">
        <v>3</v>
      </c>
      <c r="J18" s="565"/>
      <c r="K18" s="565"/>
      <c r="L18" s="565"/>
      <c r="M18" s="565"/>
      <c r="N18" s="572"/>
      <c r="O18" s="497"/>
    </row>
    <row r="19" spans="1:15" x14ac:dyDescent="0.25">
      <c r="A19" s="492"/>
      <c r="B19" s="519">
        <v>4</v>
      </c>
      <c r="C19" s="564"/>
      <c r="D19" s="565"/>
      <c r="E19" s="566"/>
      <c r="F19" s="566"/>
      <c r="G19" s="567"/>
      <c r="H19" s="495"/>
      <c r="I19" s="519">
        <v>4</v>
      </c>
      <c r="J19" s="565"/>
      <c r="K19" s="565"/>
      <c r="L19" s="565"/>
      <c r="M19" s="565"/>
      <c r="N19" s="572"/>
      <c r="O19" s="497"/>
    </row>
    <row r="20" spans="1:15" x14ac:dyDescent="0.25">
      <c r="A20" s="492"/>
      <c r="B20" s="519">
        <v>5</v>
      </c>
      <c r="C20" s="564"/>
      <c r="D20" s="565"/>
      <c r="E20" s="566"/>
      <c r="F20" s="566"/>
      <c r="G20" s="567"/>
      <c r="H20" s="495"/>
      <c r="I20" s="519">
        <v>5</v>
      </c>
      <c r="J20" s="565"/>
      <c r="K20" s="565"/>
      <c r="L20" s="565"/>
      <c r="M20" s="565"/>
      <c r="N20" s="572"/>
      <c r="O20" s="497"/>
    </row>
    <row r="21" spans="1:15" x14ac:dyDescent="0.25">
      <c r="A21" s="492"/>
      <c r="B21" s="519">
        <v>6</v>
      </c>
      <c r="C21" s="564"/>
      <c r="D21" s="565"/>
      <c r="E21" s="566"/>
      <c r="F21" s="566"/>
      <c r="G21" s="567"/>
      <c r="H21" s="495"/>
      <c r="I21" s="519">
        <v>6</v>
      </c>
      <c r="J21" s="565"/>
      <c r="K21" s="565"/>
      <c r="L21" s="565"/>
      <c r="M21" s="565"/>
      <c r="N21" s="572"/>
      <c r="O21" s="497"/>
    </row>
    <row r="22" spans="1:15" x14ac:dyDescent="0.25">
      <c r="A22" s="492"/>
      <c r="B22" s="519">
        <v>7</v>
      </c>
      <c r="C22" s="564"/>
      <c r="D22" s="565"/>
      <c r="E22" s="566"/>
      <c r="F22" s="566"/>
      <c r="G22" s="567"/>
      <c r="H22" s="495"/>
      <c r="I22" s="519">
        <v>7</v>
      </c>
      <c r="J22" s="565"/>
      <c r="K22" s="565"/>
      <c r="L22" s="565"/>
      <c r="M22" s="565"/>
      <c r="N22" s="572"/>
      <c r="O22" s="497"/>
    </row>
    <row r="23" spans="1:15" x14ac:dyDescent="0.25">
      <c r="A23" s="492"/>
      <c r="B23" s="519">
        <v>8</v>
      </c>
      <c r="C23" s="564"/>
      <c r="D23" s="565"/>
      <c r="E23" s="566"/>
      <c r="F23" s="566"/>
      <c r="G23" s="567"/>
      <c r="H23" s="495"/>
      <c r="I23" s="519">
        <v>8</v>
      </c>
      <c r="J23" s="565"/>
      <c r="K23" s="565"/>
      <c r="L23" s="565"/>
      <c r="M23" s="565"/>
      <c r="N23" s="572"/>
      <c r="O23" s="497"/>
    </row>
    <row r="24" spans="1:15" x14ac:dyDescent="0.25">
      <c r="A24" s="492"/>
      <c r="B24" s="519">
        <v>9</v>
      </c>
      <c r="C24" s="564"/>
      <c r="D24" s="565"/>
      <c r="E24" s="566"/>
      <c r="F24" s="566"/>
      <c r="G24" s="567"/>
      <c r="H24" s="495"/>
      <c r="I24" s="519">
        <v>9</v>
      </c>
      <c r="J24" s="565"/>
      <c r="K24" s="565"/>
      <c r="L24" s="565"/>
      <c r="M24" s="565"/>
      <c r="N24" s="572"/>
      <c r="O24" s="497"/>
    </row>
    <row r="25" spans="1:15" x14ac:dyDescent="0.25">
      <c r="A25" s="492"/>
      <c r="B25" s="519">
        <v>10</v>
      </c>
      <c r="C25" s="564"/>
      <c r="D25" s="565"/>
      <c r="E25" s="566"/>
      <c r="F25" s="566"/>
      <c r="G25" s="567"/>
      <c r="H25" s="495"/>
      <c r="I25" s="519">
        <v>10</v>
      </c>
      <c r="J25" s="565"/>
      <c r="K25" s="565"/>
      <c r="L25" s="565"/>
      <c r="M25" s="565"/>
      <c r="N25" s="572"/>
      <c r="O25" s="497"/>
    </row>
    <row r="26" spans="1:15" x14ac:dyDescent="0.25">
      <c r="A26" s="492"/>
      <c r="B26" s="519">
        <v>11</v>
      </c>
      <c r="C26" s="564"/>
      <c r="D26" s="565"/>
      <c r="E26" s="566"/>
      <c r="F26" s="566"/>
      <c r="G26" s="567"/>
      <c r="H26" s="495"/>
      <c r="I26" s="519">
        <v>11</v>
      </c>
      <c r="J26" s="565"/>
      <c r="K26" s="565"/>
      <c r="L26" s="565"/>
      <c r="M26" s="565"/>
      <c r="N26" s="572"/>
      <c r="O26" s="497"/>
    </row>
    <row r="27" spans="1:15" x14ac:dyDescent="0.25">
      <c r="A27" s="492"/>
      <c r="B27" s="519">
        <v>12</v>
      </c>
      <c r="C27" s="564"/>
      <c r="D27" s="565"/>
      <c r="E27" s="566"/>
      <c r="F27" s="566"/>
      <c r="G27" s="567"/>
      <c r="H27" s="495"/>
      <c r="I27" s="519">
        <v>12</v>
      </c>
      <c r="J27" s="565"/>
      <c r="K27" s="565"/>
      <c r="L27" s="565"/>
      <c r="M27" s="565"/>
      <c r="N27" s="572"/>
      <c r="O27" s="497"/>
    </row>
    <row r="28" spans="1:15" x14ac:dyDescent="0.25">
      <c r="A28" s="492"/>
      <c r="B28" s="519">
        <v>13</v>
      </c>
      <c r="C28" s="564"/>
      <c r="D28" s="565"/>
      <c r="E28" s="566"/>
      <c r="F28" s="566"/>
      <c r="G28" s="567"/>
      <c r="H28" s="495"/>
      <c r="I28" s="519">
        <v>13</v>
      </c>
      <c r="J28" s="565"/>
      <c r="K28" s="565"/>
      <c r="L28" s="565"/>
      <c r="M28" s="565"/>
      <c r="N28" s="572"/>
      <c r="O28" s="497"/>
    </row>
    <row r="29" spans="1:15" x14ac:dyDescent="0.25">
      <c r="A29" s="492"/>
      <c r="B29" s="519">
        <v>14</v>
      </c>
      <c r="C29" s="564"/>
      <c r="D29" s="565"/>
      <c r="E29" s="566"/>
      <c r="F29" s="566"/>
      <c r="G29" s="567"/>
      <c r="H29" s="495"/>
      <c r="I29" s="519">
        <v>14</v>
      </c>
      <c r="J29" s="565"/>
      <c r="K29" s="565"/>
      <c r="L29" s="565"/>
      <c r="M29" s="565"/>
      <c r="N29" s="572"/>
      <c r="O29" s="497"/>
    </row>
    <row r="30" spans="1:15" x14ac:dyDescent="0.25">
      <c r="A30" s="492"/>
      <c r="B30" s="519">
        <v>15</v>
      </c>
      <c r="C30" s="564"/>
      <c r="D30" s="565"/>
      <c r="E30" s="566"/>
      <c r="F30" s="566"/>
      <c r="G30" s="567"/>
      <c r="H30" s="495"/>
      <c r="I30" s="519">
        <v>15</v>
      </c>
      <c r="J30" s="565"/>
      <c r="K30" s="565"/>
      <c r="L30" s="565"/>
      <c r="M30" s="565"/>
      <c r="N30" s="572"/>
      <c r="O30" s="497"/>
    </row>
    <row r="31" spans="1:15" x14ac:dyDescent="0.25">
      <c r="A31" s="492"/>
      <c r="B31" s="519">
        <v>16</v>
      </c>
      <c r="C31" s="564"/>
      <c r="D31" s="565"/>
      <c r="E31" s="566"/>
      <c r="F31" s="566"/>
      <c r="G31" s="567"/>
      <c r="H31" s="495"/>
      <c r="I31" s="519">
        <v>16</v>
      </c>
      <c r="J31" s="565"/>
      <c r="K31" s="565"/>
      <c r="L31" s="565"/>
      <c r="M31" s="565"/>
      <c r="N31" s="572"/>
      <c r="O31" s="497"/>
    </row>
    <row r="32" spans="1:15" x14ac:dyDescent="0.25">
      <c r="A32" s="492"/>
      <c r="B32" s="519">
        <v>17</v>
      </c>
      <c r="C32" s="564"/>
      <c r="D32" s="565"/>
      <c r="E32" s="566"/>
      <c r="F32" s="566"/>
      <c r="G32" s="567"/>
      <c r="H32" s="495"/>
      <c r="I32" s="519">
        <v>17</v>
      </c>
      <c r="J32" s="565"/>
      <c r="K32" s="565"/>
      <c r="L32" s="565"/>
      <c r="M32" s="565"/>
      <c r="N32" s="572"/>
      <c r="O32" s="497"/>
    </row>
    <row r="33" spans="1:24" x14ac:dyDescent="0.25">
      <c r="A33" s="492"/>
      <c r="B33" s="519">
        <v>18</v>
      </c>
      <c r="C33" s="564"/>
      <c r="D33" s="565"/>
      <c r="E33" s="566"/>
      <c r="F33" s="566"/>
      <c r="G33" s="567"/>
      <c r="H33" s="495"/>
      <c r="I33" s="519">
        <v>18</v>
      </c>
      <c r="J33" s="565"/>
      <c r="K33" s="565"/>
      <c r="L33" s="565"/>
      <c r="M33" s="565"/>
      <c r="N33" s="572"/>
      <c r="O33" s="497"/>
    </row>
    <row r="34" spans="1:24" x14ac:dyDescent="0.25">
      <c r="A34" s="492"/>
      <c r="B34" s="519">
        <v>19</v>
      </c>
      <c r="C34" s="564"/>
      <c r="D34" s="565"/>
      <c r="E34" s="566"/>
      <c r="F34" s="566"/>
      <c r="G34" s="567"/>
      <c r="H34" s="495"/>
      <c r="I34" s="519">
        <v>19</v>
      </c>
      <c r="J34" s="565"/>
      <c r="K34" s="565"/>
      <c r="L34" s="565"/>
      <c r="M34" s="565"/>
      <c r="N34" s="572"/>
      <c r="O34" s="497"/>
    </row>
    <row r="35" spans="1:24" x14ac:dyDescent="0.25">
      <c r="A35" s="492"/>
      <c r="B35" s="519">
        <v>20</v>
      </c>
      <c r="C35" s="564"/>
      <c r="D35" s="565"/>
      <c r="E35" s="566"/>
      <c r="F35" s="566"/>
      <c r="G35" s="567"/>
      <c r="H35" s="495"/>
      <c r="I35" s="519">
        <v>20</v>
      </c>
      <c r="J35" s="565"/>
      <c r="K35" s="565"/>
      <c r="L35" s="565"/>
      <c r="M35" s="565"/>
      <c r="N35" s="572"/>
      <c r="O35" s="497"/>
    </row>
    <row r="36" spans="1:24" ht="15.75" thickBot="1" x14ac:dyDescent="0.3">
      <c r="A36" s="492"/>
      <c r="B36" s="520">
        <v>21</v>
      </c>
      <c r="C36" s="568"/>
      <c r="D36" s="569"/>
      <c r="E36" s="570"/>
      <c r="F36" s="570"/>
      <c r="G36" s="571"/>
      <c r="H36" s="495"/>
      <c r="I36" s="520">
        <v>21</v>
      </c>
      <c r="J36" s="569"/>
      <c r="K36" s="569"/>
      <c r="L36" s="569"/>
      <c r="M36" s="569"/>
      <c r="N36" s="573"/>
      <c r="O36" s="497"/>
    </row>
    <row r="37" spans="1:24" s="527" customFormat="1" ht="7.5" customHeight="1" thickBot="1" x14ac:dyDescent="0.3">
      <c r="A37" s="521"/>
      <c r="B37" s="522"/>
      <c r="C37" s="523"/>
      <c r="D37" s="522"/>
      <c r="E37" s="524"/>
      <c r="F37" s="524"/>
      <c r="G37" s="524"/>
      <c r="H37" s="525"/>
      <c r="I37" s="522"/>
      <c r="J37" s="522"/>
      <c r="K37" s="522"/>
      <c r="L37" s="522"/>
      <c r="M37" s="522"/>
      <c r="N37" s="522"/>
      <c r="O37" s="526"/>
    </row>
    <row r="38" spans="1:24" x14ac:dyDescent="0.25">
      <c r="B38" s="495"/>
      <c r="C38" s="528"/>
      <c r="D38" s="528"/>
      <c r="E38" s="528"/>
      <c r="F38" s="528"/>
      <c r="G38" s="528"/>
      <c r="H38" s="528"/>
      <c r="I38" s="528"/>
      <c r="J38" s="528"/>
      <c r="K38" s="528"/>
      <c r="L38" s="528"/>
      <c r="M38" s="528"/>
      <c r="N38" s="528"/>
      <c r="O38" s="528"/>
      <c r="P38" s="528"/>
      <c r="Q38" s="528"/>
      <c r="R38" s="528"/>
      <c r="S38" s="528"/>
      <c r="T38" s="528"/>
      <c r="U38" s="528"/>
      <c r="V38" s="528"/>
      <c r="W38" s="528"/>
      <c r="X38" s="528"/>
    </row>
    <row r="39" spans="1:24" ht="15.75" thickBot="1" x14ac:dyDescent="0.3">
      <c r="B39" s="508" t="s">
        <v>397</v>
      </c>
      <c r="C39" s="528"/>
      <c r="D39" s="528"/>
      <c r="E39" s="528"/>
      <c r="F39" s="528"/>
      <c r="G39" s="528"/>
      <c r="H39" s="528"/>
      <c r="I39" s="528"/>
      <c r="J39" s="528"/>
      <c r="K39" s="528"/>
      <c r="L39" s="528"/>
      <c r="M39" s="528"/>
      <c r="N39" s="528"/>
      <c r="O39" s="528"/>
      <c r="P39" s="528"/>
      <c r="Q39" s="528"/>
      <c r="R39" s="528"/>
      <c r="S39" s="528"/>
      <c r="T39" s="528"/>
      <c r="U39" s="528"/>
      <c r="V39" s="528"/>
      <c r="W39" s="528"/>
      <c r="X39" s="528"/>
    </row>
    <row r="40" spans="1:24" x14ac:dyDescent="0.25">
      <c r="B40" s="529" t="s">
        <v>41</v>
      </c>
      <c r="C40" s="530"/>
      <c r="D40" s="530"/>
      <c r="E40" s="530"/>
      <c r="F40" s="531"/>
      <c r="G40" s="532">
        <f>COUNT(E16:G36)</f>
        <v>0</v>
      </c>
      <c r="H40" s="533"/>
      <c r="I40" s="529" t="s">
        <v>45</v>
      </c>
      <c r="J40" s="530"/>
      <c r="K40" s="530"/>
      <c r="L40" s="530"/>
      <c r="M40" s="531"/>
      <c r="N40" s="532">
        <f>COUNT(L16:N36)</f>
        <v>0</v>
      </c>
      <c r="P40" s="534" t="s">
        <v>335</v>
      </c>
      <c r="Q40" s="535"/>
      <c r="R40" s="535"/>
      <c r="S40" s="536" t="e">
        <f>G47+N47</f>
        <v>#DIV/0!</v>
      </c>
      <c r="T40" s="533"/>
      <c r="U40" s="533"/>
      <c r="V40" s="533"/>
      <c r="W40" s="533"/>
      <c r="X40" s="533"/>
    </row>
    <row r="41" spans="1:24" ht="24.75" customHeight="1" thickBot="1" x14ac:dyDescent="0.3">
      <c r="B41" s="537" t="s">
        <v>328</v>
      </c>
      <c r="C41" s="538"/>
      <c r="D41" s="538"/>
      <c r="E41" s="538"/>
      <c r="F41" s="539"/>
      <c r="G41" s="540">
        <f>SUM(E16:G36)</f>
        <v>0</v>
      </c>
      <c r="I41" s="537" t="s">
        <v>46</v>
      </c>
      <c r="J41" s="538"/>
      <c r="K41" s="538"/>
      <c r="L41" s="538"/>
      <c r="M41" s="539"/>
      <c r="N41" s="541">
        <f>SUM(L16:N36)</f>
        <v>0</v>
      </c>
      <c r="P41" s="542" t="s">
        <v>336</v>
      </c>
      <c r="Q41" s="543"/>
      <c r="R41" s="543"/>
      <c r="S41" s="544" t="e">
        <f>G48+N48</f>
        <v>#DIV/0!</v>
      </c>
    </row>
    <row r="42" spans="1:24" x14ac:dyDescent="0.25">
      <c r="B42" s="545" t="s">
        <v>375</v>
      </c>
      <c r="C42" s="546"/>
      <c r="D42" s="546"/>
      <c r="E42" s="546"/>
      <c r="F42" s="539"/>
      <c r="G42" s="547">
        <f>IF(G40&gt;0,ROUND(G41/G40,0),0)</f>
        <v>0</v>
      </c>
      <c r="I42" s="545" t="s">
        <v>374</v>
      </c>
      <c r="J42" s="538"/>
      <c r="K42" s="546"/>
      <c r="L42" s="546"/>
      <c r="M42" s="539"/>
      <c r="N42" s="547">
        <f>IF(N40&gt;0,ROUND(N41/N40,0),0)</f>
        <v>0</v>
      </c>
      <c r="P42" s="548"/>
    </row>
    <row r="43" spans="1:24" x14ac:dyDescent="0.25">
      <c r="B43" s="537" t="s">
        <v>42</v>
      </c>
      <c r="C43" s="538"/>
      <c r="D43" s="538"/>
      <c r="E43" s="538"/>
      <c r="F43" s="539"/>
      <c r="G43" s="541">
        <f>SUM(D16:D36)</f>
        <v>0</v>
      </c>
      <c r="I43" s="537" t="s">
        <v>47</v>
      </c>
      <c r="J43" s="538"/>
      <c r="K43" s="538"/>
      <c r="L43" s="538"/>
      <c r="M43" s="539"/>
      <c r="N43" s="541">
        <f>SUM(K16:K36)</f>
        <v>0</v>
      </c>
    </row>
    <row r="44" spans="1:24" x14ac:dyDescent="0.25">
      <c r="B44" s="537" t="s">
        <v>43</v>
      </c>
      <c r="C44" s="538"/>
      <c r="D44" s="538"/>
      <c r="E44" s="538"/>
      <c r="F44" s="539"/>
      <c r="G44" s="540" t="e">
        <f>G43/D11</f>
        <v>#DIV/0!</v>
      </c>
      <c r="I44" s="537" t="s">
        <v>48</v>
      </c>
      <c r="J44" s="538"/>
      <c r="K44" s="538"/>
      <c r="L44" s="538"/>
      <c r="M44" s="539"/>
      <c r="N44" s="540" t="e">
        <f>N43/D11</f>
        <v>#DIV/0!</v>
      </c>
    </row>
    <row r="45" spans="1:24" x14ac:dyDescent="0.25">
      <c r="B45" s="545" t="s">
        <v>44</v>
      </c>
      <c r="C45" s="546"/>
      <c r="D45" s="546"/>
      <c r="E45" s="546"/>
      <c r="F45" s="539"/>
      <c r="G45" s="549" t="e">
        <f>G44*D7</f>
        <v>#DIV/0!</v>
      </c>
      <c r="I45" s="545" t="s">
        <v>49</v>
      </c>
      <c r="J45" s="538"/>
      <c r="K45" s="546"/>
      <c r="L45" s="546"/>
      <c r="M45" s="539"/>
      <c r="N45" s="549" t="e">
        <f>N44*D7</f>
        <v>#DIV/0!</v>
      </c>
    </row>
    <row r="46" spans="1:24" x14ac:dyDescent="0.25">
      <c r="B46" s="537"/>
      <c r="C46" s="538"/>
      <c r="D46" s="538"/>
      <c r="E46" s="538"/>
      <c r="F46" s="539"/>
      <c r="G46" s="550"/>
      <c r="I46" s="537"/>
      <c r="J46" s="538"/>
      <c r="K46" s="538"/>
      <c r="L46" s="538"/>
      <c r="M46" s="539"/>
      <c r="N46" s="541"/>
    </row>
    <row r="47" spans="1:24" x14ac:dyDescent="0.25">
      <c r="B47" s="545" t="s">
        <v>331</v>
      </c>
      <c r="C47" s="546"/>
      <c r="D47" s="546"/>
      <c r="E47" s="546"/>
      <c r="F47" s="539"/>
      <c r="G47" s="551" t="e">
        <f>IF(G45&gt;0,VLOOKUP(G42,'Lookup Values'!B5:C54,2,FALSE)*G45/1000,0)</f>
        <v>#DIV/0!</v>
      </c>
      <c r="I47" s="552" t="s">
        <v>333</v>
      </c>
      <c r="J47" s="553"/>
      <c r="K47" s="554"/>
      <c r="L47" s="554"/>
      <c r="M47" s="539"/>
      <c r="N47" s="555" t="e">
        <f>IF(N45&gt;0,VLOOKUP(N42,'Lookup Values'!E5:F54,2,FALSE)*N45/1000,0)</f>
        <v>#DIV/0!</v>
      </c>
    </row>
    <row r="48" spans="1:24" ht="15.75" thickBot="1" x14ac:dyDescent="0.3">
      <c r="B48" s="556" t="s">
        <v>332</v>
      </c>
      <c r="C48" s="557"/>
      <c r="D48" s="557"/>
      <c r="E48" s="557"/>
      <c r="F48" s="558"/>
      <c r="G48" s="559" t="e">
        <f>G47*44/12</f>
        <v>#DIV/0!</v>
      </c>
      <c r="I48" s="560" t="s">
        <v>334</v>
      </c>
      <c r="J48" s="561"/>
      <c r="K48" s="562"/>
      <c r="L48" s="562"/>
      <c r="M48" s="558"/>
      <c r="N48" s="544" t="e">
        <f>N47*44/12</f>
        <v>#DIV/0!</v>
      </c>
    </row>
    <row r="49" spans="2:10" x14ac:dyDescent="0.25">
      <c r="B49" s="563"/>
      <c r="J49" s="548"/>
    </row>
    <row r="50" spans="2:10" x14ac:dyDescent="0.25">
      <c r="J50" s="548"/>
    </row>
  </sheetData>
  <sheetProtection password="C395" sheet="1" objects="1" scenarios="1"/>
  <mergeCells count="16">
    <mergeCell ref="D7:F7"/>
    <mergeCell ref="D2:F2"/>
    <mergeCell ref="D5:F5"/>
    <mergeCell ref="D3:F3"/>
    <mergeCell ref="D4:F4"/>
    <mergeCell ref="D6:F6"/>
    <mergeCell ref="K14:K15"/>
    <mergeCell ref="D8:F8"/>
    <mergeCell ref="D10:F10"/>
    <mergeCell ref="D9:F9"/>
    <mergeCell ref="D11:F11"/>
    <mergeCell ref="B14:B15"/>
    <mergeCell ref="C14:C15"/>
    <mergeCell ref="D14:D15"/>
    <mergeCell ref="I14:I15"/>
    <mergeCell ref="J14:J15"/>
  </mergeCells>
  <conditionalFormatting sqref="E16:G37">
    <cfRule type="cellIs" dxfId="3" priority="3" operator="lessThan">
      <formula>0</formula>
    </cfRule>
    <cfRule type="cellIs" dxfId="2" priority="9" operator="greaterThan">
      <formula>50</formula>
    </cfRule>
  </conditionalFormatting>
  <conditionalFormatting sqref="L16:N37">
    <cfRule type="cellIs" dxfId="1" priority="1" operator="lessThan">
      <formula>0</formula>
    </cfRule>
    <cfRule type="cellIs" dxfId="0" priority="2" operator="greaterThan">
      <formula>50</formula>
    </cfRule>
  </conditionalFormatting>
  <pageMargins left="0.23622047244094491" right="0.23622047244094491" top="0.74803149606299213" bottom="0.74803149606299213" header="0.31496062992125984" footer="0.31496062992125984"/>
  <pageSetup paperSize="9" scale="86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4"/>
  <sheetViews>
    <sheetView zoomScale="110" zoomScaleNormal="110" workbookViewId="0">
      <selection activeCell="D2" sqref="D2:F2"/>
    </sheetView>
  </sheetViews>
  <sheetFormatPr defaultRowHeight="15" x14ac:dyDescent="0.25"/>
  <cols>
    <col min="1" max="1" width="1.42578125" customWidth="1"/>
    <col min="2" max="2" width="10.28515625" customWidth="1"/>
    <col min="3" max="3" width="11.85546875" customWidth="1"/>
    <col min="4" max="4" width="23.7109375" customWidth="1"/>
    <col min="8" max="8" width="15" customWidth="1"/>
    <col min="9" max="9" width="9.140625" customWidth="1"/>
    <col min="10" max="10" width="12.28515625" customWidth="1"/>
    <col min="13" max="13" width="17" customWidth="1"/>
    <col min="14" max="14" width="13.28515625" customWidth="1"/>
    <col min="15" max="15" width="1.7109375" customWidth="1"/>
  </cols>
  <sheetData>
    <row r="1" spans="1:15" ht="6" customHeight="1" thickBot="1" x14ac:dyDescent="0.3">
      <c r="A1" s="286"/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8"/>
    </row>
    <row r="2" spans="1:15" ht="18.75" x14ac:dyDescent="0.3">
      <c r="A2" s="289"/>
      <c r="B2" s="172" t="s">
        <v>32</v>
      </c>
      <c r="C2" s="173"/>
      <c r="D2" s="721">
        <f>'Planning - Stratification'!B4</f>
        <v>0</v>
      </c>
      <c r="E2" s="721"/>
      <c r="F2" s="722"/>
      <c r="G2" s="130"/>
      <c r="H2" s="130"/>
      <c r="I2" s="290" t="s">
        <v>387</v>
      </c>
      <c r="J2" s="130"/>
      <c r="K2" s="130"/>
      <c r="L2" s="130"/>
      <c r="M2" s="130"/>
      <c r="N2" s="130"/>
      <c r="O2" s="291"/>
    </row>
    <row r="3" spans="1:15" ht="18.75" x14ac:dyDescent="0.3">
      <c r="A3" s="289"/>
      <c r="B3" s="174" t="s">
        <v>33</v>
      </c>
      <c r="C3" s="116"/>
      <c r="D3" s="707"/>
      <c r="E3" s="707"/>
      <c r="F3" s="708"/>
      <c r="G3" s="130"/>
      <c r="H3" s="130"/>
      <c r="I3" s="313" t="s">
        <v>388</v>
      </c>
      <c r="J3" s="130"/>
      <c r="K3" s="130"/>
      <c r="L3" s="130"/>
      <c r="M3" s="130"/>
      <c r="N3" s="130"/>
      <c r="O3" s="291"/>
    </row>
    <row r="4" spans="1:15" x14ac:dyDescent="0.25">
      <c r="A4" s="289"/>
      <c r="B4" s="174" t="s">
        <v>373</v>
      </c>
      <c r="C4" s="116"/>
      <c r="D4" s="707"/>
      <c r="E4" s="707"/>
      <c r="F4" s="708"/>
      <c r="G4" s="130"/>
      <c r="H4" s="130"/>
      <c r="I4" s="33" t="s">
        <v>440</v>
      </c>
      <c r="J4" s="130"/>
      <c r="K4" s="130"/>
      <c r="L4" s="130"/>
      <c r="M4" s="130"/>
      <c r="N4" s="130"/>
      <c r="O4" s="291"/>
    </row>
    <row r="5" spans="1:15" x14ac:dyDescent="0.25">
      <c r="A5" s="289"/>
      <c r="B5" s="174" t="s">
        <v>34</v>
      </c>
      <c r="C5" s="116"/>
      <c r="D5" s="704"/>
      <c r="E5" s="705"/>
      <c r="F5" s="706"/>
      <c r="G5" s="130"/>
      <c r="H5" s="130"/>
      <c r="I5" s="130"/>
      <c r="J5" s="130"/>
      <c r="K5" s="130"/>
      <c r="L5" s="130"/>
      <c r="M5" s="130"/>
      <c r="N5" s="130"/>
      <c r="O5" s="291"/>
    </row>
    <row r="6" spans="1:15" x14ac:dyDescent="0.25">
      <c r="A6" s="289"/>
      <c r="B6" s="174" t="s">
        <v>37</v>
      </c>
      <c r="C6" s="116"/>
      <c r="D6" s="715">
        <f>'Planning - Stratification'!B8</f>
        <v>0</v>
      </c>
      <c r="E6" s="715"/>
      <c r="F6" s="716"/>
      <c r="G6" s="130"/>
      <c r="H6" s="130"/>
      <c r="I6" s="130"/>
      <c r="J6" s="130"/>
      <c r="K6" s="130"/>
      <c r="L6" s="130"/>
      <c r="M6" s="130"/>
      <c r="N6" s="130"/>
      <c r="O6" s="291"/>
    </row>
    <row r="7" spans="1:15" x14ac:dyDescent="0.25">
      <c r="A7" s="289"/>
      <c r="B7" s="174" t="s">
        <v>38</v>
      </c>
      <c r="C7" s="116"/>
      <c r="D7" s="701">
        <f>'Planning - Stratification'!B6</f>
        <v>0</v>
      </c>
      <c r="E7" s="695"/>
      <c r="F7" s="696"/>
      <c r="G7" s="130"/>
      <c r="H7" s="130"/>
      <c r="I7" s="130"/>
      <c r="J7" s="130"/>
      <c r="K7" s="130"/>
      <c r="L7" s="130"/>
      <c r="M7" s="130"/>
      <c r="N7" s="130"/>
      <c r="O7" s="291"/>
    </row>
    <row r="8" spans="1:15" x14ac:dyDescent="0.25">
      <c r="A8" s="289"/>
      <c r="B8" s="174" t="s">
        <v>351</v>
      </c>
      <c r="C8" s="116"/>
      <c r="D8" s="715">
        <f>'Planning - Stratification'!B11</f>
        <v>0</v>
      </c>
      <c r="E8" s="715"/>
      <c r="F8" s="716"/>
      <c r="G8" s="130"/>
      <c r="H8" s="130"/>
      <c r="I8" s="130"/>
      <c r="J8" s="130"/>
      <c r="K8" s="130"/>
      <c r="L8" s="130"/>
      <c r="M8" s="130"/>
      <c r="N8" s="130"/>
      <c r="O8" s="291"/>
    </row>
    <row r="9" spans="1:15" x14ac:dyDescent="0.25">
      <c r="A9" s="289"/>
      <c r="B9" s="174" t="s">
        <v>5</v>
      </c>
      <c r="C9" s="116"/>
      <c r="D9" s="715">
        <f>'Planning - Stratification'!B12</f>
        <v>0</v>
      </c>
      <c r="E9" s="715"/>
      <c r="F9" s="716"/>
      <c r="G9" s="130"/>
      <c r="H9" s="130"/>
      <c r="I9" s="130"/>
      <c r="J9" s="130"/>
      <c r="K9" s="293"/>
      <c r="L9" s="130"/>
      <c r="M9" s="130"/>
      <c r="N9" s="130"/>
      <c r="O9" s="291"/>
    </row>
    <row r="10" spans="1:15" x14ac:dyDescent="0.25">
      <c r="A10" s="289"/>
      <c r="B10" s="174" t="s">
        <v>463</v>
      </c>
      <c r="C10" s="116"/>
      <c r="D10" s="717">
        <f>PI()*D8^2/10000</f>
        <v>0</v>
      </c>
      <c r="E10" s="715"/>
      <c r="F10" s="716"/>
      <c r="G10" s="130"/>
      <c r="H10" s="130"/>
      <c r="I10" s="130"/>
      <c r="J10" s="130"/>
      <c r="K10" s="293"/>
      <c r="L10" s="130"/>
      <c r="M10" s="130"/>
      <c r="N10" s="130"/>
      <c r="O10" s="291"/>
    </row>
    <row r="11" spans="1:15" ht="15.75" thickBot="1" x14ac:dyDescent="0.3">
      <c r="A11" s="289"/>
      <c r="B11" s="175" t="s">
        <v>464</v>
      </c>
      <c r="C11" s="176"/>
      <c r="D11" s="718">
        <f>D10*D9</f>
        <v>0</v>
      </c>
      <c r="E11" s="719"/>
      <c r="F11" s="720"/>
      <c r="G11" s="130"/>
      <c r="H11" s="130"/>
      <c r="I11" s="130"/>
      <c r="J11" s="130"/>
      <c r="K11" s="130"/>
      <c r="L11" s="130"/>
      <c r="M11" s="130"/>
      <c r="N11" s="130"/>
      <c r="O11" s="291"/>
    </row>
    <row r="12" spans="1:15" x14ac:dyDescent="0.25">
      <c r="A12" s="289"/>
      <c r="B12" s="293"/>
      <c r="C12" s="130"/>
      <c r="D12" s="107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291"/>
    </row>
    <row r="13" spans="1:15" x14ac:dyDescent="0.25">
      <c r="A13" s="289"/>
      <c r="B13" s="109" t="s">
        <v>39</v>
      </c>
      <c r="C13" s="130"/>
      <c r="D13" s="308" t="s">
        <v>337</v>
      </c>
      <c r="E13" s="130"/>
      <c r="F13" s="130"/>
      <c r="G13" s="130"/>
      <c r="H13" s="130"/>
      <c r="I13" s="108" t="s">
        <v>40</v>
      </c>
      <c r="J13" s="130"/>
      <c r="K13" s="308" t="s">
        <v>347</v>
      </c>
      <c r="L13" s="130"/>
      <c r="M13" s="130"/>
      <c r="N13" s="130"/>
      <c r="O13" s="291"/>
    </row>
    <row r="14" spans="1:15" x14ac:dyDescent="0.25">
      <c r="A14" s="289"/>
      <c r="B14" s="709" t="s">
        <v>35</v>
      </c>
      <c r="C14" s="711" t="s">
        <v>348</v>
      </c>
      <c r="D14" s="711" t="s">
        <v>36</v>
      </c>
      <c r="E14" s="182" t="s">
        <v>59</v>
      </c>
      <c r="F14" s="179"/>
      <c r="G14" s="180"/>
      <c r="H14" s="130"/>
      <c r="I14" s="709" t="s">
        <v>35</v>
      </c>
      <c r="J14" s="711" t="s">
        <v>325</v>
      </c>
      <c r="K14" s="711" t="s">
        <v>36</v>
      </c>
      <c r="L14" s="182" t="s">
        <v>59</v>
      </c>
      <c r="M14" s="179"/>
      <c r="N14" s="180"/>
      <c r="O14" s="291"/>
    </row>
    <row r="15" spans="1:15" x14ac:dyDescent="0.25">
      <c r="A15" s="289"/>
      <c r="B15" s="710"/>
      <c r="C15" s="712"/>
      <c r="D15" s="712"/>
      <c r="E15" s="159">
        <v>1</v>
      </c>
      <c r="F15" s="160">
        <v>2</v>
      </c>
      <c r="G15" s="181">
        <v>3</v>
      </c>
      <c r="H15" s="130"/>
      <c r="I15" s="713"/>
      <c r="J15" s="714"/>
      <c r="K15" s="714"/>
      <c r="L15" s="159">
        <v>1</v>
      </c>
      <c r="M15" s="160">
        <v>2</v>
      </c>
      <c r="N15" s="181">
        <v>3</v>
      </c>
      <c r="O15" s="291"/>
    </row>
    <row r="16" spans="1:15" x14ac:dyDescent="0.25">
      <c r="A16" s="289"/>
      <c r="B16" s="158">
        <v>1</v>
      </c>
      <c r="C16" s="565"/>
      <c r="D16" s="565"/>
      <c r="E16" s="574"/>
      <c r="F16" s="574"/>
      <c r="G16" s="574"/>
      <c r="H16" s="309"/>
      <c r="I16" s="158">
        <v>1</v>
      </c>
      <c r="J16" s="565"/>
      <c r="K16" s="565"/>
      <c r="L16" s="574"/>
      <c r="M16" s="574"/>
      <c r="N16" s="574"/>
      <c r="O16" s="291"/>
    </row>
    <row r="17" spans="1:15" x14ac:dyDescent="0.25">
      <c r="A17" s="289"/>
      <c r="B17" s="158">
        <v>2</v>
      </c>
      <c r="C17" s="565"/>
      <c r="D17" s="565"/>
      <c r="E17" s="574"/>
      <c r="F17" s="574"/>
      <c r="G17" s="574"/>
      <c r="H17" s="171"/>
      <c r="I17" s="158">
        <v>2</v>
      </c>
      <c r="J17" s="565"/>
      <c r="K17" s="565"/>
      <c r="L17" s="574"/>
      <c r="M17" s="574"/>
      <c r="N17" s="574"/>
      <c r="O17" s="291"/>
    </row>
    <row r="18" spans="1:15" x14ac:dyDescent="0.25">
      <c r="A18" s="289"/>
      <c r="B18" s="158">
        <v>3</v>
      </c>
      <c r="C18" s="565"/>
      <c r="D18" s="565"/>
      <c r="E18" s="574"/>
      <c r="F18" s="574"/>
      <c r="G18" s="574"/>
      <c r="H18" s="171"/>
      <c r="I18" s="158">
        <v>3</v>
      </c>
      <c r="J18" s="565"/>
      <c r="K18" s="565"/>
      <c r="L18" s="574"/>
      <c r="M18" s="574"/>
      <c r="N18" s="574"/>
      <c r="O18" s="291"/>
    </row>
    <row r="19" spans="1:15" x14ac:dyDescent="0.25">
      <c r="A19" s="289"/>
      <c r="B19" s="158">
        <v>4</v>
      </c>
      <c r="C19" s="565"/>
      <c r="D19" s="565"/>
      <c r="E19" s="574"/>
      <c r="F19" s="574"/>
      <c r="G19" s="574"/>
      <c r="H19" s="171"/>
      <c r="I19" s="158">
        <v>4</v>
      </c>
      <c r="J19" s="565"/>
      <c r="K19" s="565"/>
      <c r="L19" s="574"/>
      <c r="M19" s="574"/>
      <c r="N19" s="574"/>
      <c r="O19" s="291"/>
    </row>
    <row r="20" spans="1:15" x14ac:dyDescent="0.25">
      <c r="A20" s="289"/>
      <c r="B20" s="158">
        <v>5</v>
      </c>
      <c r="C20" s="565"/>
      <c r="D20" s="565"/>
      <c r="E20" s="574"/>
      <c r="F20" s="574"/>
      <c r="G20" s="574"/>
      <c r="H20" s="171"/>
      <c r="I20" s="158">
        <v>5</v>
      </c>
      <c r="J20" s="565"/>
      <c r="K20" s="565"/>
      <c r="L20" s="574"/>
      <c r="M20" s="574"/>
      <c r="N20" s="574"/>
      <c r="O20" s="291"/>
    </row>
    <row r="21" spans="1:15" x14ac:dyDescent="0.25">
      <c r="A21" s="289"/>
      <c r="B21" s="158">
        <v>6</v>
      </c>
      <c r="C21" s="565"/>
      <c r="D21" s="565"/>
      <c r="E21" s="574"/>
      <c r="F21" s="574"/>
      <c r="G21" s="574"/>
      <c r="H21" s="171"/>
      <c r="I21" s="158">
        <v>6</v>
      </c>
      <c r="J21" s="565"/>
      <c r="K21" s="565"/>
      <c r="L21" s="574"/>
      <c r="M21" s="574"/>
      <c r="N21" s="574"/>
      <c r="O21" s="291"/>
    </row>
    <row r="22" spans="1:15" x14ac:dyDescent="0.25">
      <c r="A22" s="289"/>
      <c r="B22" s="158">
        <v>7</v>
      </c>
      <c r="C22" s="565"/>
      <c r="D22" s="565"/>
      <c r="E22" s="574"/>
      <c r="F22" s="574"/>
      <c r="G22" s="574"/>
      <c r="H22" s="171"/>
      <c r="I22" s="158">
        <v>7</v>
      </c>
      <c r="J22" s="565"/>
      <c r="K22" s="565"/>
      <c r="L22" s="574"/>
      <c r="M22" s="574"/>
      <c r="N22" s="574"/>
      <c r="O22" s="291"/>
    </row>
    <row r="23" spans="1:15" x14ac:dyDescent="0.25">
      <c r="A23" s="289"/>
      <c r="B23" s="158">
        <v>8</v>
      </c>
      <c r="C23" s="565"/>
      <c r="D23" s="565"/>
      <c r="E23" s="574"/>
      <c r="F23" s="574"/>
      <c r="G23" s="574"/>
      <c r="H23" s="171"/>
      <c r="I23" s="158">
        <v>8</v>
      </c>
      <c r="J23" s="565"/>
      <c r="K23" s="565"/>
      <c r="L23" s="574"/>
      <c r="M23" s="574"/>
      <c r="N23" s="574"/>
      <c r="O23" s="291"/>
    </row>
    <row r="24" spans="1:15" x14ac:dyDescent="0.25">
      <c r="A24" s="289"/>
      <c r="B24" s="158">
        <v>9</v>
      </c>
      <c r="C24" s="565"/>
      <c r="D24" s="565"/>
      <c r="E24" s="574"/>
      <c r="F24" s="574"/>
      <c r="G24" s="574"/>
      <c r="H24" s="171"/>
      <c r="I24" s="158">
        <v>9</v>
      </c>
      <c r="J24" s="565"/>
      <c r="K24" s="565"/>
      <c r="L24" s="574"/>
      <c r="M24" s="574"/>
      <c r="N24" s="574"/>
      <c r="O24" s="291"/>
    </row>
    <row r="25" spans="1:15" x14ac:dyDescent="0.25">
      <c r="A25" s="289"/>
      <c r="B25" s="158">
        <v>10</v>
      </c>
      <c r="C25" s="565"/>
      <c r="D25" s="565"/>
      <c r="E25" s="574"/>
      <c r="F25" s="574"/>
      <c r="G25" s="574"/>
      <c r="H25" s="171"/>
      <c r="I25" s="158">
        <v>10</v>
      </c>
      <c r="J25" s="565"/>
      <c r="K25" s="565"/>
      <c r="L25" s="574"/>
      <c r="M25" s="574"/>
      <c r="N25" s="574"/>
      <c r="O25" s="291"/>
    </row>
    <row r="26" spans="1:15" x14ac:dyDescent="0.25">
      <c r="A26" s="289"/>
      <c r="B26" s="158">
        <v>11</v>
      </c>
      <c r="C26" s="565"/>
      <c r="D26" s="565"/>
      <c r="E26" s="574"/>
      <c r="F26" s="574"/>
      <c r="G26" s="574"/>
      <c r="H26" s="171"/>
      <c r="I26" s="158">
        <v>11</v>
      </c>
      <c r="J26" s="565"/>
      <c r="K26" s="565"/>
      <c r="L26" s="574"/>
      <c r="M26" s="574"/>
      <c r="N26" s="574"/>
      <c r="O26" s="291"/>
    </row>
    <row r="27" spans="1:15" x14ac:dyDescent="0.25">
      <c r="A27" s="289"/>
      <c r="B27" s="158">
        <v>12</v>
      </c>
      <c r="C27" s="565"/>
      <c r="D27" s="565"/>
      <c r="E27" s="574"/>
      <c r="F27" s="574"/>
      <c r="G27" s="574"/>
      <c r="H27" s="171"/>
      <c r="I27" s="158">
        <v>12</v>
      </c>
      <c r="J27" s="565"/>
      <c r="K27" s="565"/>
      <c r="L27" s="574"/>
      <c r="M27" s="574"/>
      <c r="N27" s="574"/>
      <c r="O27" s="291"/>
    </row>
    <row r="28" spans="1:15" x14ac:dyDescent="0.25">
      <c r="A28" s="289"/>
      <c r="B28" s="158">
        <v>13</v>
      </c>
      <c r="C28" s="565"/>
      <c r="D28" s="565"/>
      <c r="E28" s="574"/>
      <c r="F28" s="574"/>
      <c r="G28" s="574"/>
      <c r="H28" s="171"/>
      <c r="I28" s="158">
        <v>13</v>
      </c>
      <c r="J28" s="565"/>
      <c r="K28" s="565"/>
      <c r="L28" s="574"/>
      <c r="M28" s="574"/>
      <c r="N28" s="574"/>
      <c r="O28" s="291"/>
    </row>
    <row r="29" spans="1:15" x14ac:dyDescent="0.25">
      <c r="A29" s="289"/>
      <c r="B29" s="158">
        <v>14</v>
      </c>
      <c r="C29" s="565"/>
      <c r="D29" s="565"/>
      <c r="E29" s="574"/>
      <c r="F29" s="574"/>
      <c r="G29" s="574"/>
      <c r="H29" s="171"/>
      <c r="I29" s="158">
        <v>14</v>
      </c>
      <c r="J29" s="565"/>
      <c r="K29" s="565"/>
      <c r="L29" s="574"/>
      <c r="M29" s="574"/>
      <c r="N29" s="574"/>
      <c r="O29" s="291"/>
    </row>
    <row r="30" spans="1:15" x14ac:dyDescent="0.25">
      <c r="A30" s="289"/>
      <c r="B30" s="158">
        <v>15</v>
      </c>
      <c r="C30" s="565"/>
      <c r="D30" s="565"/>
      <c r="E30" s="574"/>
      <c r="F30" s="574"/>
      <c r="G30" s="574"/>
      <c r="H30" s="171"/>
      <c r="I30" s="158">
        <v>15</v>
      </c>
      <c r="J30" s="565"/>
      <c r="K30" s="565"/>
      <c r="L30" s="574"/>
      <c r="M30" s="574"/>
      <c r="N30" s="574"/>
      <c r="O30" s="291"/>
    </row>
    <row r="31" spans="1:15" x14ac:dyDescent="0.25">
      <c r="A31" s="289"/>
      <c r="B31" s="158">
        <v>16</v>
      </c>
      <c r="C31" s="565"/>
      <c r="D31" s="565"/>
      <c r="E31" s="574"/>
      <c r="F31" s="574"/>
      <c r="G31" s="574"/>
      <c r="H31" s="171"/>
      <c r="I31" s="158">
        <v>16</v>
      </c>
      <c r="J31" s="565"/>
      <c r="K31" s="565"/>
      <c r="L31" s="574"/>
      <c r="M31" s="574"/>
      <c r="N31" s="574"/>
      <c r="O31" s="291"/>
    </row>
    <row r="32" spans="1:15" x14ac:dyDescent="0.25">
      <c r="A32" s="289"/>
      <c r="B32" s="158">
        <v>17</v>
      </c>
      <c r="C32" s="565"/>
      <c r="D32" s="565"/>
      <c r="E32" s="574"/>
      <c r="F32" s="574"/>
      <c r="G32" s="574"/>
      <c r="H32" s="171"/>
      <c r="I32" s="158">
        <v>17</v>
      </c>
      <c r="J32" s="565"/>
      <c r="K32" s="565"/>
      <c r="L32" s="574"/>
      <c r="M32" s="574"/>
      <c r="N32" s="574"/>
      <c r="O32" s="291"/>
    </row>
    <row r="33" spans="1:19" x14ac:dyDescent="0.25">
      <c r="A33" s="289"/>
      <c r="B33" s="158">
        <v>18</v>
      </c>
      <c r="C33" s="565"/>
      <c r="D33" s="565"/>
      <c r="E33" s="574"/>
      <c r="F33" s="574"/>
      <c r="G33" s="574"/>
      <c r="H33" s="171"/>
      <c r="I33" s="158">
        <v>18</v>
      </c>
      <c r="J33" s="565"/>
      <c r="K33" s="565"/>
      <c r="L33" s="574"/>
      <c r="M33" s="574"/>
      <c r="N33" s="574"/>
      <c r="O33" s="291"/>
    </row>
    <row r="34" spans="1:19" x14ac:dyDescent="0.25">
      <c r="A34" s="289"/>
      <c r="B34" s="158">
        <v>19</v>
      </c>
      <c r="C34" s="565"/>
      <c r="D34" s="565"/>
      <c r="E34" s="574"/>
      <c r="F34" s="574"/>
      <c r="G34" s="574"/>
      <c r="H34" s="171"/>
      <c r="I34" s="158">
        <v>19</v>
      </c>
      <c r="J34" s="565"/>
      <c r="K34" s="565"/>
      <c r="L34" s="574"/>
      <c r="M34" s="574"/>
      <c r="N34" s="574"/>
      <c r="O34" s="291"/>
    </row>
    <row r="35" spans="1:19" x14ac:dyDescent="0.25">
      <c r="A35" s="289"/>
      <c r="B35" s="158">
        <v>20</v>
      </c>
      <c r="C35" s="565"/>
      <c r="D35" s="565"/>
      <c r="E35" s="574"/>
      <c r="F35" s="574"/>
      <c r="G35" s="574"/>
      <c r="H35" s="171"/>
      <c r="I35" s="158">
        <v>20</v>
      </c>
      <c r="J35" s="565"/>
      <c r="K35" s="565"/>
      <c r="L35" s="574"/>
      <c r="M35" s="574"/>
      <c r="N35" s="574"/>
      <c r="O35" s="291"/>
    </row>
    <row r="36" spans="1:19" x14ac:dyDescent="0.25">
      <c r="A36" s="289"/>
      <c r="B36" s="158">
        <v>21</v>
      </c>
      <c r="C36" s="565"/>
      <c r="D36" s="565"/>
      <c r="E36" s="574"/>
      <c r="F36" s="574"/>
      <c r="G36" s="574"/>
      <c r="H36" s="171"/>
      <c r="I36" s="158">
        <v>21</v>
      </c>
      <c r="J36" s="565"/>
      <c r="K36" s="565"/>
      <c r="L36" s="574"/>
      <c r="M36" s="574"/>
      <c r="N36" s="574"/>
      <c r="O36" s="291"/>
    </row>
    <row r="37" spans="1:19" s="77" customFormat="1" ht="6" customHeight="1" thickBot="1" x14ac:dyDescent="0.3">
      <c r="A37" s="294"/>
      <c r="B37" s="295"/>
      <c r="C37" s="295"/>
      <c r="D37" s="295"/>
      <c r="E37" s="310"/>
      <c r="F37" s="310"/>
      <c r="G37" s="310"/>
      <c r="H37" s="311"/>
      <c r="I37" s="295"/>
      <c r="J37" s="295"/>
      <c r="K37" s="295"/>
      <c r="L37" s="310"/>
      <c r="M37" s="310"/>
      <c r="N37" s="310"/>
      <c r="O37" s="297"/>
    </row>
    <row r="39" spans="1:19" ht="15.75" thickBot="1" x14ac:dyDescent="0.3">
      <c r="B39" s="1" t="s">
        <v>398</v>
      </c>
    </row>
    <row r="40" spans="1:19" x14ac:dyDescent="0.25">
      <c r="B40" s="305" t="s">
        <v>341</v>
      </c>
      <c r="C40" s="162"/>
      <c r="D40" s="162"/>
      <c r="E40" s="162"/>
      <c r="F40" s="298"/>
      <c r="G40" s="298">
        <f>COUNT(E16:G36)</f>
        <v>0</v>
      </c>
      <c r="I40" s="161" t="s">
        <v>45</v>
      </c>
      <c r="J40" s="162"/>
      <c r="K40" s="162"/>
      <c r="L40" s="162"/>
      <c r="M40" s="298"/>
      <c r="N40" s="298">
        <f>COUNT(L16:N36)</f>
        <v>0</v>
      </c>
      <c r="P40" s="156" t="s">
        <v>338</v>
      </c>
      <c r="Q40" s="157"/>
      <c r="R40" s="157"/>
      <c r="S40" s="259">
        <f>G47+N47</f>
        <v>0</v>
      </c>
    </row>
    <row r="41" spans="1:19" ht="15.75" thickBot="1" x14ac:dyDescent="0.3">
      <c r="B41" s="306" t="s">
        <v>340</v>
      </c>
      <c r="C41" s="164"/>
      <c r="D41" s="164"/>
      <c r="E41" s="164"/>
      <c r="F41" s="165"/>
      <c r="G41" s="299">
        <f>SUM(E16:G36)</f>
        <v>0</v>
      </c>
      <c r="H41" s="130"/>
      <c r="I41" s="163" t="s">
        <v>346</v>
      </c>
      <c r="J41" s="164"/>
      <c r="K41" s="164"/>
      <c r="L41" s="164"/>
      <c r="M41" s="165"/>
      <c r="N41" s="299">
        <f>SUM(L16:N36)</f>
        <v>0</v>
      </c>
      <c r="P41" s="154" t="s">
        <v>339</v>
      </c>
      <c r="Q41" s="155"/>
      <c r="R41" s="155"/>
      <c r="S41" s="258">
        <f>G48+N48</f>
        <v>0</v>
      </c>
    </row>
    <row r="42" spans="1:19" x14ac:dyDescent="0.25">
      <c r="B42" s="166" t="s">
        <v>349</v>
      </c>
      <c r="C42" s="167"/>
      <c r="D42" s="167"/>
      <c r="E42" s="164"/>
      <c r="F42" s="165"/>
      <c r="G42" s="300">
        <f>IF(G40&gt;0,ROUND(G41/G40,1),0)</f>
        <v>0</v>
      </c>
      <c r="H42" s="130"/>
      <c r="I42" s="166" t="s">
        <v>350</v>
      </c>
      <c r="J42" s="167"/>
      <c r="K42" s="167"/>
      <c r="L42" s="164"/>
      <c r="M42" s="165"/>
      <c r="N42" s="300">
        <f>IF(N40&gt;0,ROUND(N41/N40,1),0)</f>
        <v>0</v>
      </c>
      <c r="P42" s="33"/>
    </row>
    <row r="43" spans="1:19" x14ac:dyDescent="0.25">
      <c r="B43" s="306" t="s">
        <v>60</v>
      </c>
      <c r="C43" s="164"/>
      <c r="D43" s="164"/>
      <c r="E43" s="164"/>
      <c r="F43" s="165"/>
      <c r="G43" s="165">
        <f>SUM(D16:D36)</f>
        <v>0</v>
      </c>
      <c r="H43" s="104"/>
      <c r="I43" s="163" t="s">
        <v>65</v>
      </c>
      <c r="J43" s="164"/>
      <c r="K43" s="164"/>
      <c r="L43" s="164"/>
      <c r="M43" s="165"/>
      <c r="N43" s="165">
        <f>SUM(K16:K36)</f>
        <v>0</v>
      </c>
    </row>
    <row r="44" spans="1:19" x14ac:dyDescent="0.25">
      <c r="B44" s="306" t="s">
        <v>61</v>
      </c>
      <c r="C44" s="164"/>
      <c r="D44" s="164"/>
      <c r="E44" s="164"/>
      <c r="F44" s="165"/>
      <c r="G44" s="301" t="e">
        <f>G43/D11</f>
        <v>#DIV/0!</v>
      </c>
      <c r="H44" s="104"/>
      <c r="I44" s="163" t="s">
        <v>63</v>
      </c>
      <c r="J44" s="164"/>
      <c r="K44" s="164"/>
      <c r="L44" s="164"/>
      <c r="M44" s="165"/>
      <c r="N44" s="301" t="e">
        <f>N43/D11</f>
        <v>#DIV/0!</v>
      </c>
    </row>
    <row r="45" spans="1:19" x14ac:dyDescent="0.25">
      <c r="B45" s="166" t="s">
        <v>62</v>
      </c>
      <c r="C45" s="167"/>
      <c r="D45" s="167"/>
      <c r="E45" s="164"/>
      <c r="F45" s="165"/>
      <c r="G45" s="302" t="e">
        <f>G44*D7</f>
        <v>#DIV/0!</v>
      </c>
      <c r="H45" s="104"/>
      <c r="I45" s="166" t="s">
        <v>64</v>
      </c>
      <c r="J45" s="167"/>
      <c r="K45" s="167"/>
      <c r="L45" s="164"/>
      <c r="M45" s="165"/>
      <c r="N45" s="302" t="e">
        <f>N44*D7</f>
        <v>#DIV/0!</v>
      </c>
    </row>
    <row r="46" spans="1:19" x14ac:dyDescent="0.25">
      <c r="B46" s="306"/>
      <c r="C46" s="164"/>
      <c r="D46" s="164"/>
      <c r="E46" s="164"/>
      <c r="F46" s="165"/>
      <c r="G46" s="165"/>
      <c r="H46" s="104"/>
      <c r="I46" s="163"/>
      <c r="J46" s="164"/>
      <c r="K46" s="164"/>
      <c r="L46" s="164"/>
      <c r="M46" s="165"/>
      <c r="N46" s="165"/>
    </row>
    <row r="47" spans="1:19" x14ac:dyDescent="0.25">
      <c r="B47" s="166" t="s">
        <v>342</v>
      </c>
      <c r="C47" s="167"/>
      <c r="D47" s="167"/>
      <c r="E47" s="164"/>
      <c r="F47" s="165"/>
      <c r="G47" s="303">
        <f>IF(G40&gt;0,VLOOKUP(G42,'Lookup Values'!H5:I99,2,FALSE)*G45,0)</f>
        <v>0</v>
      </c>
      <c r="H47" s="171"/>
      <c r="I47" s="166" t="s">
        <v>344</v>
      </c>
      <c r="J47" s="167"/>
      <c r="K47" s="167"/>
      <c r="L47" s="164"/>
      <c r="M47" s="165"/>
      <c r="N47" s="300">
        <f>IF(N40&gt;0,VLOOKUP(N42,'Lookup Values'!K5:L99,2,FALSE)*N45,0)</f>
        <v>0</v>
      </c>
    </row>
    <row r="48" spans="1:19" ht="15.75" thickBot="1" x14ac:dyDescent="0.3">
      <c r="B48" s="168" t="s">
        <v>343</v>
      </c>
      <c r="C48" s="169"/>
      <c r="D48" s="169"/>
      <c r="E48" s="170"/>
      <c r="F48" s="204"/>
      <c r="G48" s="304">
        <f>G47*44/12</f>
        <v>0</v>
      </c>
      <c r="H48" s="171"/>
      <c r="I48" s="168" t="s">
        <v>345</v>
      </c>
      <c r="J48" s="169"/>
      <c r="K48" s="169"/>
      <c r="L48" s="170"/>
      <c r="M48" s="204"/>
      <c r="N48" s="307">
        <f>N47*44/12</f>
        <v>0</v>
      </c>
    </row>
    <row r="49" spans="2:14" x14ac:dyDescent="0.25">
      <c r="B49" s="14"/>
      <c r="G49" s="130"/>
      <c r="H49" s="171"/>
      <c r="I49" s="171"/>
      <c r="J49" s="130"/>
      <c r="K49" s="130"/>
      <c r="L49" s="130"/>
      <c r="M49" s="130"/>
    </row>
    <row r="50" spans="2:14" x14ac:dyDescent="0.25">
      <c r="B50" s="14"/>
      <c r="G50" s="130"/>
      <c r="H50" s="171"/>
      <c r="I50" s="171"/>
      <c r="J50" s="130"/>
      <c r="K50" s="130"/>
      <c r="L50" s="130"/>
      <c r="M50" s="130"/>
    </row>
    <row r="51" spans="2:14" x14ac:dyDescent="0.25">
      <c r="G51" s="130"/>
      <c r="H51" s="171"/>
      <c r="I51" s="171"/>
      <c r="J51" s="130"/>
      <c r="K51" s="130"/>
      <c r="L51" s="130"/>
      <c r="M51" s="130"/>
    </row>
    <row r="52" spans="2:14" x14ac:dyDescent="0.25">
      <c r="G52" s="130"/>
      <c r="H52" s="171"/>
      <c r="I52" s="171"/>
      <c r="J52" s="130"/>
      <c r="K52" s="130"/>
      <c r="L52" s="130"/>
      <c r="M52" s="130"/>
    </row>
    <row r="53" spans="2:14" x14ac:dyDescent="0.25">
      <c r="G53" s="130"/>
      <c r="H53" s="104"/>
      <c r="I53" s="171"/>
      <c r="J53" s="171"/>
      <c r="K53" s="130"/>
      <c r="L53" s="130"/>
      <c r="M53" s="130"/>
    </row>
    <row r="54" spans="2:14" x14ac:dyDescent="0.25">
      <c r="G54" s="130"/>
      <c r="H54" s="171"/>
      <c r="I54" s="171"/>
      <c r="J54" s="130"/>
      <c r="K54" s="130"/>
      <c r="L54" s="130"/>
      <c r="M54" s="130"/>
    </row>
    <row r="55" spans="2:14" x14ac:dyDescent="0.25">
      <c r="G55" s="130"/>
      <c r="H55" s="171"/>
      <c r="I55" s="171"/>
      <c r="J55" s="130"/>
      <c r="K55" s="130"/>
      <c r="L55" s="130"/>
      <c r="M55" s="130"/>
    </row>
    <row r="56" spans="2:14" x14ac:dyDescent="0.25">
      <c r="G56" s="130"/>
      <c r="H56" s="171"/>
      <c r="I56" s="171"/>
      <c r="J56" s="130"/>
      <c r="K56" s="130"/>
      <c r="L56" s="130"/>
      <c r="M56" s="130"/>
    </row>
    <row r="57" spans="2:14" x14ac:dyDescent="0.25">
      <c r="G57" s="130"/>
      <c r="H57" s="171"/>
      <c r="I57" s="171"/>
      <c r="J57" s="130"/>
      <c r="K57" s="104"/>
      <c r="L57" s="104"/>
      <c r="M57" s="104"/>
      <c r="N57" s="104"/>
    </row>
    <row r="58" spans="2:14" x14ac:dyDescent="0.25">
      <c r="G58" s="130"/>
      <c r="H58" s="171"/>
      <c r="I58" s="171"/>
      <c r="J58" s="130"/>
      <c r="K58" s="130"/>
      <c r="L58" s="130"/>
      <c r="M58" s="130"/>
    </row>
    <row r="59" spans="2:14" x14ac:dyDescent="0.25">
      <c r="G59" s="130"/>
      <c r="H59" s="171"/>
      <c r="I59" s="171"/>
      <c r="J59" s="130"/>
      <c r="K59" s="130"/>
      <c r="L59" s="130"/>
      <c r="M59" s="130"/>
    </row>
    <row r="60" spans="2:14" x14ac:dyDescent="0.25">
      <c r="G60" s="130"/>
      <c r="H60" s="171"/>
      <c r="I60" s="171"/>
      <c r="J60" s="130"/>
      <c r="K60" s="130"/>
      <c r="L60" s="130"/>
      <c r="M60" s="130"/>
    </row>
    <row r="61" spans="2:14" x14ac:dyDescent="0.25">
      <c r="H61" s="171"/>
      <c r="I61" s="171"/>
      <c r="J61" s="130"/>
      <c r="K61" s="130"/>
      <c r="L61" s="130"/>
      <c r="M61" s="130"/>
    </row>
    <row r="62" spans="2:14" x14ac:dyDescent="0.25">
      <c r="H62" s="171"/>
      <c r="I62" s="171"/>
      <c r="J62" s="104"/>
      <c r="K62" s="130"/>
      <c r="L62" s="130"/>
      <c r="M62" s="130"/>
    </row>
    <row r="63" spans="2:14" x14ac:dyDescent="0.25">
      <c r="H63" s="171"/>
      <c r="I63" s="171"/>
      <c r="J63" s="130"/>
      <c r="K63" s="130"/>
      <c r="L63" s="130"/>
      <c r="M63" s="130"/>
    </row>
    <row r="64" spans="2:14" x14ac:dyDescent="0.25">
      <c r="H64" s="130"/>
      <c r="I64" s="130"/>
      <c r="J64" s="130"/>
      <c r="K64" s="130"/>
      <c r="L64" s="130"/>
      <c r="M64" s="130"/>
    </row>
  </sheetData>
  <sheetProtection password="C395" sheet="1" objects="1" scenarios="1"/>
  <mergeCells count="16">
    <mergeCell ref="D7:F7"/>
    <mergeCell ref="D2:F2"/>
    <mergeCell ref="D3:F3"/>
    <mergeCell ref="D4:F4"/>
    <mergeCell ref="D5:F5"/>
    <mergeCell ref="D6:F6"/>
    <mergeCell ref="K14:K15"/>
    <mergeCell ref="D8:F8"/>
    <mergeCell ref="D9:F9"/>
    <mergeCell ref="D10:F10"/>
    <mergeCell ref="D11:F11"/>
    <mergeCell ref="B14:B15"/>
    <mergeCell ref="C14:C15"/>
    <mergeCell ref="D14:D15"/>
    <mergeCell ref="I14:I15"/>
    <mergeCell ref="J14:J15"/>
  </mergeCells>
  <pageMargins left="0.25" right="0.25" top="0.75" bottom="0.75" header="0.3" footer="0.3"/>
  <pageSetup paperSize="9" scale="88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0"/>
  <sheetViews>
    <sheetView zoomScale="115" zoomScaleNormal="115" workbookViewId="0">
      <selection activeCell="D2" sqref="D2:F2"/>
    </sheetView>
  </sheetViews>
  <sheetFormatPr defaultRowHeight="15" x14ac:dyDescent="0.25"/>
  <cols>
    <col min="1" max="1" width="1.42578125" style="491" customWidth="1"/>
    <col min="2" max="2" width="11.85546875" style="533" customWidth="1"/>
    <col min="3" max="4" width="11.28515625" style="491" customWidth="1"/>
    <col min="5" max="13" width="9.140625" style="491"/>
    <col min="14" max="14" width="9.7109375" style="491" bestFit="1" customWidth="1"/>
    <col min="15" max="24" width="9.140625" style="491"/>
    <col min="25" max="25" width="12.140625" style="491" hidden="1" customWidth="1"/>
    <col min="26" max="26" width="9.140625" style="491"/>
    <col min="27" max="27" width="30.5703125" style="491" customWidth="1"/>
    <col min="28" max="28" width="20.85546875" style="491" customWidth="1"/>
    <col min="29" max="29" width="11.7109375" style="491" customWidth="1"/>
    <col min="30" max="30" width="13" style="491" customWidth="1"/>
    <col min="31" max="31" width="14.85546875" style="491" customWidth="1"/>
    <col min="32" max="32" width="10.140625" style="491" customWidth="1"/>
    <col min="33" max="33" width="8.85546875" style="491" customWidth="1"/>
    <col min="34" max="16384" width="9.140625" style="491"/>
  </cols>
  <sheetData>
    <row r="1" spans="1:34" ht="6" customHeight="1" thickBot="1" x14ac:dyDescent="0.3">
      <c r="A1" s="488"/>
      <c r="B1" s="575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AA1" s="489"/>
      <c r="AB1" s="489"/>
      <c r="AC1" s="489"/>
      <c r="AD1" s="489"/>
      <c r="AE1" s="489"/>
      <c r="AF1" s="489"/>
      <c r="AG1" s="490"/>
    </row>
    <row r="2" spans="1:34" ht="19.5" thickTop="1" x14ac:dyDescent="0.3">
      <c r="A2" s="492"/>
      <c r="B2" s="493" t="s">
        <v>32</v>
      </c>
      <c r="C2" s="576"/>
      <c r="D2" s="775">
        <f>'Planning - Stratification'!B4</f>
        <v>0</v>
      </c>
      <c r="E2" s="776"/>
      <c r="F2" s="777"/>
      <c r="G2" s="495"/>
      <c r="H2" s="495"/>
      <c r="I2" s="495"/>
      <c r="J2" s="496" t="s">
        <v>390</v>
      </c>
      <c r="K2" s="495"/>
      <c r="L2" s="495"/>
      <c r="M2" s="495"/>
      <c r="N2" s="495"/>
      <c r="O2" s="495"/>
      <c r="P2" s="723" t="s">
        <v>392</v>
      </c>
      <c r="Q2" s="724"/>
      <c r="R2" s="724"/>
      <c r="S2" s="724"/>
      <c r="T2" s="724"/>
      <c r="U2" s="724"/>
      <c r="V2" s="724"/>
      <c r="W2" s="725"/>
      <c r="X2" s="726"/>
      <c r="Y2" s="495"/>
      <c r="AA2" s="493" t="s">
        <v>32</v>
      </c>
      <c r="AB2" s="577">
        <f>D2</f>
        <v>0</v>
      </c>
      <c r="AC2" s="496" t="s">
        <v>478</v>
      </c>
      <c r="AD2" s="495"/>
      <c r="AE2" s="495"/>
      <c r="AF2" s="495"/>
      <c r="AG2" s="497"/>
    </row>
    <row r="3" spans="1:34" ht="28.5" customHeight="1" x14ac:dyDescent="0.3">
      <c r="A3" s="492"/>
      <c r="B3" s="499" t="s">
        <v>33</v>
      </c>
      <c r="C3" s="578"/>
      <c r="D3" s="778">
        <v>1</v>
      </c>
      <c r="E3" s="779"/>
      <c r="F3" s="780"/>
      <c r="G3" s="495"/>
      <c r="H3" s="495"/>
      <c r="I3" s="495"/>
      <c r="J3" s="501" t="s">
        <v>389</v>
      </c>
      <c r="K3" s="495"/>
      <c r="L3" s="495"/>
      <c r="M3" s="495"/>
      <c r="N3" s="495"/>
      <c r="O3" s="495"/>
      <c r="P3" s="727"/>
      <c r="Q3" s="728"/>
      <c r="R3" s="728"/>
      <c r="S3" s="728"/>
      <c r="T3" s="728"/>
      <c r="U3" s="728"/>
      <c r="V3" s="728"/>
      <c r="W3" s="728"/>
      <c r="X3" s="729"/>
      <c r="Y3" s="495"/>
      <c r="AA3" s="499" t="s">
        <v>33</v>
      </c>
      <c r="AB3" s="579">
        <f t="shared" ref="AB3:AB13" si="0">D3</f>
        <v>1</v>
      </c>
      <c r="AC3" s="501" t="s">
        <v>389</v>
      </c>
      <c r="AD3" s="495"/>
      <c r="AE3" s="495"/>
      <c r="AF3" s="495"/>
      <c r="AG3" s="497"/>
    </row>
    <row r="4" spans="1:34" x14ac:dyDescent="0.25">
      <c r="A4" s="492"/>
      <c r="B4" s="753" t="s">
        <v>462</v>
      </c>
      <c r="C4" s="754"/>
      <c r="D4" s="755" t="str">
        <f>'Planning Stratum1_Species'!B17</f>
        <v>Species</v>
      </c>
      <c r="E4" s="756"/>
      <c r="F4" s="757"/>
      <c r="G4" s="580"/>
      <c r="H4" s="502"/>
      <c r="I4" s="502"/>
      <c r="J4" s="502"/>
      <c r="K4" s="502"/>
      <c r="L4" s="495"/>
      <c r="M4" s="495"/>
      <c r="N4" s="495"/>
      <c r="O4" s="495"/>
      <c r="P4" s="668"/>
      <c r="Q4" s="669"/>
      <c r="R4" s="669"/>
      <c r="S4" s="669"/>
      <c r="T4" s="669"/>
      <c r="U4" s="669"/>
      <c r="V4" s="669"/>
      <c r="W4" s="669"/>
      <c r="X4" s="670"/>
      <c r="Y4" s="495"/>
      <c r="AA4" s="581" t="s">
        <v>382</v>
      </c>
      <c r="AB4" s="579" t="str">
        <f t="shared" si="0"/>
        <v>Species</v>
      </c>
      <c r="AC4" s="495"/>
      <c r="AD4" s="582"/>
      <c r="AE4" s="495"/>
      <c r="AF4" s="495"/>
      <c r="AG4" s="497"/>
    </row>
    <row r="5" spans="1:34" x14ac:dyDescent="0.25">
      <c r="A5" s="492"/>
      <c r="B5" s="581" t="s">
        <v>391</v>
      </c>
      <c r="C5" s="583"/>
      <c r="D5" s="704"/>
      <c r="E5" s="730"/>
      <c r="F5" s="731"/>
      <c r="G5" s="495"/>
      <c r="H5" s="495"/>
      <c r="I5" s="495"/>
      <c r="J5" s="502" t="s">
        <v>441</v>
      </c>
      <c r="K5" s="495"/>
      <c r="L5" s="495"/>
      <c r="M5" s="495"/>
      <c r="N5" s="495"/>
      <c r="O5" s="495"/>
      <c r="P5" s="668"/>
      <c r="Q5" s="669"/>
      <c r="R5" s="669"/>
      <c r="S5" s="669"/>
      <c r="T5" s="669"/>
      <c r="U5" s="669"/>
      <c r="V5" s="669"/>
      <c r="W5" s="669"/>
      <c r="X5" s="670"/>
      <c r="Y5" s="495"/>
      <c r="AA5" s="581"/>
      <c r="AB5" s="579"/>
      <c r="AC5" s="495"/>
      <c r="AD5" s="582"/>
      <c r="AE5" s="495"/>
      <c r="AF5" s="495"/>
      <c r="AG5" s="497"/>
    </row>
    <row r="6" spans="1:34" ht="18.75" x14ac:dyDescent="0.3">
      <c r="A6" s="492"/>
      <c r="B6" s="499" t="s">
        <v>373</v>
      </c>
      <c r="C6" s="578"/>
      <c r="D6" s="704"/>
      <c r="E6" s="705"/>
      <c r="F6" s="748"/>
      <c r="G6" s="495"/>
      <c r="H6" s="495"/>
      <c r="I6" s="495"/>
      <c r="J6" s="502"/>
      <c r="K6" s="495"/>
      <c r="L6" s="495"/>
      <c r="M6" s="495"/>
      <c r="N6" s="495"/>
      <c r="O6" s="495"/>
      <c r="P6" s="668"/>
      <c r="Q6" s="669"/>
      <c r="R6" s="669"/>
      <c r="S6" s="669"/>
      <c r="T6" s="669"/>
      <c r="U6" s="669"/>
      <c r="V6" s="669"/>
      <c r="W6" s="671"/>
      <c r="X6" s="672"/>
      <c r="Y6" s="495"/>
      <c r="AA6" s="499" t="s">
        <v>373</v>
      </c>
      <c r="AB6" s="579">
        <f t="shared" si="0"/>
        <v>0</v>
      </c>
      <c r="AC6" s="582"/>
      <c r="AD6" s="582"/>
      <c r="AE6" s="495"/>
      <c r="AF6" s="495"/>
      <c r="AG6" s="497"/>
    </row>
    <row r="7" spans="1:34" x14ac:dyDescent="0.25">
      <c r="A7" s="492"/>
      <c r="B7" s="499" t="s">
        <v>34</v>
      </c>
      <c r="C7" s="578"/>
      <c r="D7" s="704"/>
      <c r="E7" s="705"/>
      <c r="F7" s="748"/>
      <c r="G7" s="495"/>
      <c r="H7" s="495"/>
      <c r="I7" s="495"/>
      <c r="J7" s="495"/>
      <c r="K7" s="495"/>
      <c r="L7" s="495"/>
      <c r="M7" s="495"/>
      <c r="N7" s="495"/>
      <c r="O7" s="495"/>
      <c r="P7" s="668"/>
      <c r="Q7" s="669"/>
      <c r="R7" s="669"/>
      <c r="S7" s="669"/>
      <c r="T7" s="669"/>
      <c r="U7" s="669"/>
      <c r="V7" s="669"/>
      <c r="W7" s="669"/>
      <c r="X7" s="670"/>
      <c r="Y7" s="495"/>
      <c r="AA7" s="499" t="s">
        <v>34</v>
      </c>
      <c r="AB7" s="579">
        <f t="shared" si="0"/>
        <v>0</v>
      </c>
      <c r="AC7" s="582"/>
      <c r="AD7" s="582"/>
      <c r="AE7" s="495"/>
      <c r="AF7" s="495"/>
      <c r="AG7" s="497"/>
    </row>
    <row r="8" spans="1:34" x14ac:dyDescent="0.25">
      <c r="A8" s="492"/>
      <c r="B8" s="499" t="s">
        <v>377</v>
      </c>
      <c r="C8" s="578"/>
      <c r="D8" s="778">
        <f>'Planning - Stratification'!B8</f>
        <v>0</v>
      </c>
      <c r="E8" s="779"/>
      <c r="F8" s="780"/>
      <c r="G8" s="495"/>
      <c r="H8" s="495"/>
      <c r="I8" s="495"/>
      <c r="J8" s="495"/>
      <c r="K8" s="495"/>
      <c r="L8" s="495"/>
      <c r="M8" s="495"/>
      <c r="N8" s="495"/>
      <c r="O8" s="495"/>
      <c r="P8" s="668"/>
      <c r="Q8" s="669"/>
      <c r="R8" s="669"/>
      <c r="S8" s="669"/>
      <c r="T8" s="669"/>
      <c r="U8" s="669"/>
      <c r="V8" s="669"/>
      <c r="W8" s="669"/>
      <c r="X8" s="670"/>
      <c r="Y8" s="495"/>
      <c r="AA8" s="499" t="s">
        <v>377</v>
      </c>
      <c r="AB8" s="579">
        <f t="shared" si="0"/>
        <v>0</v>
      </c>
      <c r="AC8" s="582"/>
      <c r="AD8" s="582"/>
      <c r="AE8" s="495"/>
      <c r="AF8" s="495"/>
      <c r="AG8" s="497"/>
    </row>
    <row r="9" spans="1:34" x14ac:dyDescent="0.25">
      <c r="A9" s="492"/>
      <c r="B9" s="499" t="s">
        <v>376</v>
      </c>
      <c r="C9" s="578"/>
      <c r="D9" s="740">
        <f>'Planning - Stratification'!B6</f>
        <v>0</v>
      </c>
      <c r="E9" s="749"/>
      <c r="F9" s="739"/>
      <c r="G9" s="495"/>
      <c r="H9" s="495"/>
      <c r="I9" s="495"/>
      <c r="J9" s="495"/>
      <c r="K9" s="495"/>
      <c r="L9" s="495"/>
      <c r="M9" s="495"/>
      <c r="N9" s="495"/>
      <c r="O9" s="495"/>
      <c r="P9" s="668"/>
      <c r="Q9" s="669"/>
      <c r="R9" s="669"/>
      <c r="S9" s="669"/>
      <c r="T9" s="669"/>
      <c r="U9" s="669"/>
      <c r="V9" s="669"/>
      <c r="W9" s="669"/>
      <c r="X9" s="670"/>
      <c r="Y9" s="495"/>
      <c r="AA9" s="499" t="s">
        <v>376</v>
      </c>
      <c r="AB9" s="579">
        <f t="shared" si="0"/>
        <v>0</v>
      </c>
      <c r="AC9" s="584"/>
      <c r="AD9" s="584"/>
      <c r="AE9" s="495"/>
      <c r="AF9" s="495"/>
      <c r="AG9" s="497"/>
    </row>
    <row r="10" spans="1:34" x14ac:dyDescent="0.25">
      <c r="A10" s="492"/>
      <c r="B10" s="499" t="s">
        <v>351</v>
      </c>
      <c r="C10" s="578"/>
      <c r="D10" s="740">
        <f>'Planning - Stratification'!B11</f>
        <v>0</v>
      </c>
      <c r="E10" s="749"/>
      <c r="F10" s="739"/>
      <c r="G10" s="503"/>
      <c r="H10" s="495"/>
      <c r="I10" s="495"/>
      <c r="J10" s="495"/>
      <c r="K10" s="495"/>
      <c r="L10" s="495"/>
      <c r="M10" s="495"/>
      <c r="N10" s="495"/>
      <c r="O10" s="495"/>
      <c r="P10" s="668"/>
      <c r="Q10" s="669"/>
      <c r="R10" s="669"/>
      <c r="S10" s="669"/>
      <c r="T10" s="669"/>
      <c r="U10" s="669"/>
      <c r="V10" s="669"/>
      <c r="W10" s="669"/>
      <c r="X10" s="670"/>
      <c r="Y10" s="528"/>
      <c r="AA10" s="499" t="s">
        <v>351</v>
      </c>
      <c r="AB10" s="579">
        <f t="shared" si="0"/>
        <v>0</v>
      </c>
      <c r="AC10" s="584"/>
      <c r="AD10" s="584"/>
      <c r="AE10" s="495"/>
      <c r="AF10" s="495"/>
      <c r="AG10" s="497"/>
    </row>
    <row r="11" spans="1:34" x14ac:dyDescent="0.25">
      <c r="A11" s="492"/>
      <c r="B11" s="499" t="s">
        <v>5</v>
      </c>
      <c r="C11" s="578"/>
      <c r="D11" s="740">
        <f>'Planning - Stratification'!B12</f>
        <v>0</v>
      </c>
      <c r="E11" s="749"/>
      <c r="F11" s="739"/>
      <c r="G11" s="495"/>
      <c r="H11" s="495"/>
      <c r="I11" s="495"/>
      <c r="J11" s="495"/>
      <c r="K11" s="495"/>
      <c r="L11" s="495"/>
      <c r="M11" s="495"/>
      <c r="N11" s="495"/>
      <c r="O11" s="495"/>
      <c r="P11" s="668"/>
      <c r="Q11" s="673"/>
      <c r="R11" s="673"/>
      <c r="S11" s="673"/>
      <c r="T11" s="673"/>
      <c r="U11" s="673"/>
      <c r="V11" s="673"/>
      <c r="W11" s="669"/>
      <c r="X11" s="670"/>
      <c r="Y11" s="528"/>
      <c r="AA11" s="499" t="s">
        <v>5</v>
      </c>
      <c r="AB11" s="579">
        <f t="shared" si="0"/>
        <v>0</v>
      </c>
      <c r="AC11" s="584"/>
      <c r="AD11" s="584"/>
      <c r="AE11" s="495"/>
      <c r="AF11" s="495"/>
      <c r="AG11" s="497"/>
    </row>
    <row r="12" spans="1:34" x14ac:dyDescent="0.25">
      <c r="A12" s="492"/>
      <c r="B12" s="499" t="s">
        <v>463</v>
      </c>
      <c r="C12" s="578"/>
      <c r="D12" s="750">
        <f>D10^2*PI()/10000</f>
        <v>0</v>
      </c>
      <c r="E12" s="751"/>
      <c r="F12" s="752"/>
      <c r="G12" s="495"/>
      <c r="H12" s="495"/>
      <c r="I12" s="495"/>
      <c r="J12" s="495"/>
      <c r="K12" s="495"/>
      <c r="L12" s="495"/>
      <c r="M12" s="495"/>
      <c r="N12" s="495"/>
      <c r="O12" s="495"/>
      <c r="P12" s="668"/>
      <c r="Q12" s="669"/>
      <c r="R12" s="669"/>
      <c r="S12" s="669"/>
      <c r="T12" s="669"/>
      <c r="U12" s="669"/>
      <c r="V12" s="669"/>
      <c r="W12" s="669"/>
      <c r="X12" s="670"/>
      <c r="Y12" s="528"/>
      <c r="AA12" s="499" t="s">
        <v>463</v>
      </c>
      <c r="AB12" s="579">
        <f t="shared" si="0"/>
        <v>0</v>
      </c>
      <c r="AC12" s="584"/>
      <c r="AD12" s="584"/>
      <c r="AE12" s="495"/>
      <c r="AF12" s="495"/>
      <c r="AG12" s="497"/>
    </row>
    <row r="13" spans="1:34" ht="15.75" thickBot="1" x14ac:dyDescent="0.3">
      <c r="A13" s="492"/>
      <c r="B13" s="506" t="s">
        <v>464</v>
      </c>
      <c r="C13" s="585"/>
      <c r="D13" s="781">
        <f>D11*D12</f>
        <v>0</v>
      </c>
      <c r="E13" s="782"/>
      <c r="F13" s="783"/>
      <c r="G13" s="495"/>
      <c r="H13" s="495"/>
      <c r="I13" s="495"/>
      <c r="J13" s="495"/>
      <c r="K13" s="495"/>
      <c r="L13" s="495"/>
      <c r="M13" s="495"/>
      <c r="N13" s="495"/>
      <c r="O13" s="495"/>
      <c r="P13" s="674"/>
      <c r="Q13" s="675"/>
      <c r="R13" s="675"/>
      <c r="S13" s="675"/>
      <c r="T13" s="675"/>
      <c r="U13" s="675"/>
      <c r="V13" s="675"/>
      <c r="W13" s="675"/>
      <c r="X13" s="676"/>
      <c r="Y13" s="528"/>
      <c r="AA13" s="506" t="s">
        <v>464</v>
      </c>
      <c r="AB13" s="586">
        <f t="shared" si="0"/>
        <v>0</v>
      </c>
      <c r="AC13" s="584"/>
      <c r="AD13" s="584"/>
      <c r="AE13" s="495"/>
      <c r="AF13" s="495"/>
      <c r="AG13" s="497"/>
    </row>
    <row r="14" spans="1:34" x14ac:dyDescent="0.25">
      <c r="A14" s="492"/>
      <c r="B14" s="587"/>
      <c r="C14" s="587"/>
      <c r="D14" s="588"/>
      <c r="E14" s="495"/>
      <c r="F14" s="495"/>
      <c r="G14" s="495"/>
      <c r="H14" s="495"/>
      <c r="I14" s="495"/>
      <c r="J14" s="495"/>
      <c r="K14" s="495"/>
      <c r="L14" s="495"/>
      <c r="M14" s="495"/>
      <c r="N14" s="495"/>
      <c r="O14" s="495"/>
      <c r="P14" s="589"/>
      <c r="Q14" s="495"/>
      <c r="R14" s="495"/>
      <c r="S14" s="495"/>
      <c r="T14" s="590"/>
      <c r="U14" s="495"/>
      <c r="V14" s="528"/>
      <c r="W14" s="528"/>
      <c r="X14" s="528"/>
      <c r="Y14" s="528"/>
      <c r="AA14" s="495"/>
      <c r="AB14" s="495"/>
      <c r="AC14" s="495"/>
      <c r="AD14" s="495"/>
      <c r="AE14" s="495"/>
      <c r="AF14" s="495"/>
      <c r="AG14" s="497"/>
    </row>
    <row r="15" spans="1:34" x14ac:dyDescent="0.25">
      <c r="A15" s="492"/>
      <c r="B15" s="587"/>
      <c r="C15" s="587"/>
      <c r="D15" s="588"/>
      <c r="E15" s="495"/>
      <c r="F15" s="495"/>
      <c r="G15" s="495"/>
      <c r="H15" s="495"/>
      <c r="I15" s="495"/>
      <c r="J15" s="495"/>
      <c r="K15" s="495"/>
      <c r="L15" s="495"/>
      <c r="M15" s="495"/>
      <c r="N15" s="495"/>
      <c r="O15" s="495"/>
      <c r="P15" s="495"/>
      <c r="Q15" s="495"/>
      <c r="R15" s="495"/>
      <c r="S15" s="495"/>
      <c r="T15" s="590"/>
      <c r="U15" s="495"/>
      <c r="V15" s="528"/>
      <c r="W15" s="528"/>
      <c r="X15" s="528"/>
      <c r="Y15" s="528"/>
      <c r="AA15" s="495"/>
      <c r="AB15" s="495"/>
      <c r="AC15" s="495"/>
      <c r="AD15" s="495"/>
      <c r="AE15" s="495"/>
      <c r="AF15" s="495"/>
      <c r="AG15" s="497"/>
    </row>
    <row r="16" spans="1:34" x14ac:dyDescent="0.25">
      <c r="A16" s="492"/>
      <c r="B16" s="508" t="s">
        <v>378</v>
      </c>
      <c r="C16" s="495"/>
      <c r="D16" s="495"/>
      <c r="E16" s="495"/>
      <c r="F16" s="495"/>
      <c r="G16" s="495"/>
      <c r="H16" s="495"/>
      <c r="I16" s="495"/>
      <c r="J16" s="495"/>
      <c r="K16" s="495"/>
      <c r="L16" s="495"/>
      <c r="M16" s="495"/>
      <c r="N16" s="495"/>
      <c r="O16" s="495"/>
      <c r="P16" s="495"/>
      <c r="Q16" s="495"/>
      <c r="R16" s="495"/>
      <c r="S16" s="495"/>
      <c r="T16" s="495"/>
      <c r="U16" s="495"/>
      <c r="V16" s="495"/>
      <c r="W16" s="495"/>
      <c r="X16" s="495"/>
      <c r="Y16" s="495"/>
      <c r="AA16" s="503"/>
      <c r="AB16" s="495"/>
      <c r="AC16" s="495"/>
      <c r="AD16" s="495"/>
      <c r="AE16" s="495"/>
      <c r="AF16" s="495"/>
      <c r="AG16" s="497"/>
      <c r="AH16" s="533"/>
    </row>
    <row r="17" spans="1:35" ht="75" x14ac:dyDescent="0.25">
      <c r="A17" s="492"/>
      <c r="B17" s="591"/>
      <c r="C17" s="592"/>
      <c r="D17" s="578"/>
      <c r="E17" s="578"/>
      <c r="F17" s="578"/>
      <c r="G17" s="578"/>
      <c r="H17" s="593" t="s">
        <v>1</v>
      </c>
      <c r="I17" s="578"/>
      <c r="J17" s="578"/>
      <c r="K17" s="578"/>
      <c r="L17" s="578"/>
      <c r="M17" s="578"/>
      <c r="N17" s="578"/>
      <c r="O17" s="578"/>
      <c r="P17" s="578"/>
      <c r="Q17" s="578"/>
      <c r="R17" s="578"/>
      <c r="S17" s="578"/>
      <c r="T17" s="578"/>
      <c r="U17" s="578"/>
      <c r="V17" s="578"/>
      <c r="W17" s="594"/>
      <c r="X17" s="594"/>
      <c r="Y17" s="495"/>
      <c r="AA17" s="595" t="s">
        <v>79</v>
      </c>
      <c r="AB17" s="596" t="s">
        <v>1</v>
      </c>
      <c r="AC17" s="596" t="s">
        <v>3</v>
      </c>
      <c r="AD17" s="596" t="s">
        <v>4</v>
      </c>
      <c r="AE17" s="597" t="s">
        <v>76</v>
      </c>
      <c r="AF17" s="598" t="s">
        <v>77</v>
      </c>
      <c r="AG17" s="599"/>
    </row>
    <row r="18" spans="1:35" s="533" customFormat="1" x14ac:dyDescent="0.25">
      <c r="A18" s="600"/>
      <c r="B18" s="601" t="s">
        <v>4</v>
      </c>
      <c r="C18" s="601">
        <v>1</v>
      </c>
      <c r="D18" s="601">
        <v>2</v>
      </c>
      <c r="E18" s="601">
        <v>3</v>
      </c>
      <c r="F18" s="601">
        <v>4</v>
      </c>
      <c r="G18" s="601">
        <v>5</v>
      </c>
      <c r="H18" s="601">
        <v>6</v>
      </c>
      <c r="I18" s="601">
        <v>7</v>
      </c>
      <c r="J18" s="601">
        <v>8</v>
      </c>
      <c r="K18" s="601">
        <v>9</v>
      </c>
      <c r="L18" s="601">
        <v>10</v>
      </c>
      <c r="M18" s="601">
        <v>11</v>
      </c>
      <c r="N18" s="601">
        <v>12</v>
      </c>
      <c r="O18" s="601">
        <v>13</v>
      </c>
      <c r="P18" s="601">
        <v>14</v>
      </c>
      <c r="Q18" s="601">
        <v>15</v>
      </c>
      <c r="R18" s="601">
        <v>16</v>
      </c>
      <c r="S18" s="601">
        <v>17</v>
      </c>
      <c r="T18" s="601">
        <v>18</v>
      </c>
      <c r="U18" s="601">
        <v>19</v>
      </c>
      <c r="V18" s="601">
        <v>20</v>
      </c>
      <c r="W18" s="601">
        <v>21</v>
      </c>
      <c r="X18" s="601" t="s">
        <v>0</v>
      </c>
      <c r="Y18" s="502" t="s">
        <v>7</v>
      </c>
      <c r="AA18" s="500">
        <v>1</v>
      </c>
      <c r="AB18" s="500">
        <v>1</v>
      </c>
      <c r="AC18" s="677"/>
      <c r="AD18" s="677"/>
      <c r="AE18" s="679"/>
      <c r="AF18" s="602">
        <f t="shared" ref="AF18:AF59" si="1">ROUND(IF(AE18&gt;0,$J$65+$J$66*AE18+$J$67*AD18+$J$68*AD18*AE18,0),0)</f>
        <v>0</v>
      </c>
      <c r="AG18" s="603"/>
      <c r="AI18" s="491"/>
    </row>
    <row r="19" spans="1:35" x14ac:dyDescent="0.25">
      <c r="A19" s="492"/>
      <c r="B19" s="601">
        <v>7</v>
      </c>
      <c r="C19" s="677"/>
      <c r="D19" s="677"/>
      <c r="E19" s="677"/>
      <c r="F19" s="677"/>
      <c r="G19" s="677"/>
      <c r="H19" s="677"/>
      <c r="I19" s="677"/>
      <c r="J19" s="677"/>
      <c r="K19" s="677"/>
      <c r="L19" s="677"/>
      <c r="M19" s="677"/>
      <c r="N19" s="677"/>
      <c r="O19" s="677"/>
      <c r="P19" s="677"/>
      <c r="Q19" s="677"/>
      <c r="R19" s="677"/>
      <c r="S19" s="677"/>
      <c r="T19" s="677"/>
      <c r="U19" s="677"/>
      <c r="V19" s="677"/>
      <c r="W19" s="677"/>
      <c r="X19" s="604">
        <f>SUM(C19:W19)</f>
        <v>0</v>
      </c>
      <c r="Y19" s="502">
        <f t="shared" ref="Y19:Y52" si="2">X19*B19^2</f>
        <v>0</v>
      </c>
      <c r="AA19" s="500">
        <v>2</v>
      </c>
      <c r="AB19" s="500">
        <v>1</v>
      </c>
      <c r="AC19" s="677"/>
      <c r="AD19" s="677"/>
      <c r="AE19" s="679"/>
      <c r="AF19" s="602">
        <f t="shared" si="1"/>
        <v>0</v>
      </c>
      <c r="AG19" s="605"/>
    </row>
    <row r="20" spans="1:35" x14ac:dyDescent="0.25">
      <c r="A20" s="492"/>
      <c r="B20" s="601">
        <v>8</v>
      </c>
      <c r="C20" s="677"/>
      <c r="D20" s="677"/>
      <c r="E20" s="677"/>
      <c r="F20" s="677"/>
      <c r="G20" s="677"/>
      <c r="H20" s="677"/>
      <c r="I20" s="677"/>
      <c r="J20" s="677"/>
      <c r="K20" s="677"/>
      <c r="L20" s="677"/>
      <c r="M20" s="677"/>
      <c r="N20" s="677"/>
      <c r="O20" s="677"/>
      <c r="P20" s="677"/>
      <c r="Q20" s="677"/>
      <c r="R20" s="677"/>
      <c r="S20" s="677"/>
      <c r="T20" s="677"/>
      <c r="U20" s="677"/>
      <c r="V20" s="677"/>
      <c r="W20" s="677"/>
      <c r="X20" s="604">
        <f t="shared" ref="X20:X52" si="3">SUM(C20:W20)</f>
        <v>0</v>
      </c>
      <c r="Y20" s="502">
        <f t="shared" si="2"/>
        <v>0</v>
      </c>
      <c r="AA20" s="500">
        <v>3</v>
      </c>
      <c r="AB20" s="500">
        <v>2</v>
      </c>
      <c r="AC20" s="677"/>
      <c r="AD20" s="677"/>
      <c r="AE20" s="679"/>
      <c r="AF20" s="602">
        <f t="shared" si="1"/>
        <v>0</v>
      </c>
      <c r="AG20" s="606"/>
    </row>
    <row r="21" spans="1:35" x14ac:dyDescent="0.25">
      <c r="A21" s="492"/>
      <c r="B21" s="601">
        <v>9</v>
      </c>
      <c r="C21" s="677"/>
      <c r="D21" s="677"/>
      <c r="E21" s="677"/>
      <c r="F21" s="677"/>
      <c r="G21" s="677"/>
      <c r="H21" s="677"/>
      <c r="I21" s="677"/>
      <c r="J21" s="677"/>
      <c r="K21" s="677"/>
      <c r="L21" s="677"/>
      <c r="M21" s="677"/>
      <c r="N21" s="677"/>
      <c r="O21" s="677"/>
      <c r="P21" s="677"/>
      <c r="Q21" s="677"/>
      <c r="R21" s="677"/>
      <c r="S21" s="677"/>
      <c r="T21" s="677"/>
      <c r="U21" s="677"/>
      <c r="V21" s="677"/>
      <c r="W21" s="677"/>
      <c r="X21" s="604">
        <f t="shared" si="3"/>
        <v>0</v>
      </c>
      <c r="Y21" s="502">
        <f t="shared" si="2"/>
        <v>0</v>
      </c>
      <c r="AA21" s="500">
        <v>4</v>
      </c>
      <c r="AB21" s="500">
        <v>2</v>
      </c>
      <c r="AC21" s="677"/>
      <c r="AD21" s="677"/>
      <c r="AE21" s="679"/>
      <c r="AF21" s="602">
        <f t="shared" si="1"/>
        <v>0</v>
      </c>
      <c r="AG21" s="606"/>
    </row>
    <row r="22" spans="1:35" x14ac:dyDescent="0.25">
      <c r="A22" s="492"/>
      <c r="B22" s="601">
        <v>10</v>
      </c>
      <c r="C22" s="677"/>
      <c r="D22" s="677"/>
      <c r="E22" s="677"/>
      <c r="F22" s="677"/>
      <c r="G22" s="677"/>
      <c r="H22" s="677"/>
      <c r="I22" s="677"/>
      <c r="J22" s="677"/>
      <c r="K22" s="677"/>
      <c r="L22" s="677"/>
      <c r="M22" s="677"/>
      <c r="N22" s="677"/>
      <c r="O22" s="677"/>
      <c r="P22" s="677"/>
      <c r="Q22" s="677"/>
      <c r="R22" s="677"/>
      <c r="S22" s="677"/>
      <c r="T22" s="677"/>
      <c r="U22" s="677"/>
      <c r="V22" s="677"/>
      <c r="W22" s="677"/>
      <c r="X22" s="604">
        <f t="shared" si="3"/>
        <v>0</v>
      </c>
      <c r="Y22" s="502">
        <f t="shared" si="2"/>
        <v>0</v>
      </c>
      <c r="AA22" s="500">
        <v>5</v>
      </c>
      <c r="AB22" s="500">
        <v>3</v>
      </c>
      <c r="AC22" s="677"/>
      <c r="AD22" s="677"/>
      <c r="AE22" s="679"/>
      <c r="AF22" s="602">
        <f t="shared" si="1"/>
        <v>0</v>
      </c>
      <c r="AG22" s="606"/>
    </row>
    <row r="23" spans="1:35" x14ac:dyDescent="0.25">
      <c r="A23" s="492"/>
      <c r="B23" s="601">
        <v>11</v>
      </c>
      <c r="C23" s="677"/>
      <c r="D23" s="677"/>
      <c r="E23" s="677"/>
      <c r="F23" s="677"/>
      <c r="G23" s="677"/>
      <c r="H23" s="677"/>
      <c r="I23" s="677"/>
      <c r="J23" s="677"/>
      <c r="K23" s="677"/>
      <c r="L23" s="677"/>
      <c r="M23" s="677"/>
      <c r="N23" s="677"/>
      <c r="O23" s="677"/>
      <c r="P23" s="677"/>
      <c r="Q23" s="677"/>
      <c r="R23" s="677"/>
      <c r="S23" s="677"/>
      <c r="T23" s="677"/>
      <c r="U23" s="677"/>
      <c r="V23" s="677"/>
      <c r="W23" s="677"/>
      <c r="X23" s="604">
        <f t="shared" si="3"/>
        <v>0</v>
      </c>
      <c r="Y23" s="502">
        <f t="shared" si="2"/>
        <v>0</v>
      </c>
      <c r="AA23" s="500">
        <v>6</v>
      </c>
      <c r="AB23" s="500">
        <v>3</v>
      </c>
      <c r="AC23" s="677"/>
      <c r="AD23" s="677"/>
      <c r="AE23" s="679"/>
      <c r="AF23" s="602">
        <f t="shared" si="1"/>
        <v>0</v>
      </c>
      <c r="AG23" s="606"/>
    </row>
    <row r="24" spans="1:35" x14ac:dyDescent="0.25">
      <c r="A24" s="492"/>
      <c r="B24" s="601">
        <v>12</v>
      </c>
      <c r="C24" s="677"/>
      <c r="D24" s="677"/>
      <c r="E24" s="677"/>
      <c r="F24" s="677"/>
      <c r="G24" s="677"/>
      <c r="H24" s="677"/>
      <c r="I24" s="677"/>
      <c r="J24" s="677"/>
      <c r="K24" s="677"/>
      <c r="L24" s="677"/>
      <c r="M24" s="677"/>
      <c r="N24" s="677"/>
      <c r="O24" s="677"/>
      <c r="P24" s="677"/>
      <c r="Q24" s="677"/>
      <c r="R24" s="677"/>
      <c r="S24" s="677"/>
      <c r="T24" s="677"/>
      <c r="U24" s="677"/>
      <c r="V24" s="677"/>
      <c r="W24" s="677"/>
      <c r="X24" s="604">
        <f t="shared" si="3"/>
        <v>0</v>
      </c>
      <c r="Y24" s="502">
        <f t="shared" si="2"/>
        <v>0</v>
      </c>
      <c r="AA24" s="500">
        <v>7</v>
      </c>
      <c r="AB24" s="500">
        <v>4</v>
      </c>
      <c r="AC24" s="677"/>
      <c r="AD24" s="677"/>
      <c r="AE24" s="679"/>
      <c r="AF24" s="602">
        <f t="shared" si="1"/>
        <v>0</v>
      </c>
      <c r="AG24" s="606"/>
    </row>
    <row r="25" spans="1:35" x14ac:dyDescent="0.25">
      <c r="A25" s="492"/>
      <c r="B25" s="601">
        <v>13</v>
      </c>
      <c r="C25" s="677"/>
      <c r="D25" s="677"/>
      <c r="E25" s="677"/>
      <c r="F25" s="677"/>
      <c r="G25" s="677"/>
      <c r="H25" s="677"/>
      <c r="I25" s="677"/>
      <c r="J25" s="677"/>
      <c r="K25" s="677"/>
      <c r="L25" s="677"/>
      <c r="M25" s="677"/>
      <c r="N25" s="677"/>
      <c r="O25" s="677"/>
      <c r="P25" s="677"/>
      <c r="Q25" s="677"/>
      <c r="R25" s="677"/>
      <c r="S25" s="677"/>
      <c r="T25" s="677"/>
      <c r="U25" s="677"/>
      <c r="V25" s="677"/>
      <c r="W25" s="677"/>
      <c r="X25" s="604">
        <f t="shared" si="3"/>
        <v>0</v>
      </c>
      <c r="Y25" s="502">
        <f t="shared" si="2"/>
        <v>0</v>
      </c>
      <c r="AA25" s="500">
        <v>8</v>
      </c>
      <c r="AB25" s="500">
        <v>4</v>
      </c>
      <c r="AC25" s="677"/>
      <c r="AD25" s="677"/>
      <c r="AE25" s="679"/>
      <c r="AF25" s="602">
        <f t="shared" si="1"/>
        <v>0</v>
      </c>
      <c r="AG25" s="606"/>
    </row>
    <row r="26" spans="1:35" x14ac:dyDescent="0.25">
      <c r="A26" s="492"/>
      <c r="B26" s="601">
        <v>14</v>
      </c>
      <c r="C26" s="677"/>
      <c r="D26" s="677"/>
      <c r="E26" s="677"/>
      <c r="F26" s="677"/>
      <c r="G26" s="677"/>
      <c r="H26" s="677"/>
      <c r="I26" s="677"/>
      <c r="J26" s="677"/>
      <c r="K26" s="677"/>
      <c r="L26" s="677"/>
      <c r="M26" s="677"/>
      <c r="N26" s="677"/>
      <c r="O26" s="677"/>
      <c r="P26" s="677"/>
      <c r="Q26" s="677"/>
      <c r="R26" s="677"/>
      <c r="S26" s="677"/>
      <c r="T26" s="677"/>
      <c r="U26" s="677"/>
      <c r="V26" s="677"/>
      <c r="W26" s="677"/>
      <c r="X26" s="604">
        <f t="shared" si="3"/>
        <v>0</v>
      </c>
      <c r="Y26" s="502">
        <f t="shared" si="2"/>
        <v>0</v>
      </c>
      <c r="AA26" s="500">
        <v>9</v>
      </c>
      <c r="AB26" s="500">
        <v>5</v>
      </c>
      <c r="AC26" s="677"/>
      <c r="AD26" s="677"/>
      <c r="AE26" s="679"/>
      <c r="AF26" s="602">
        <f t="shared" si="1"/>
        <v>0</v>
      </c>
      <c r="AG26" s="606"/>
    </row>
    <row r="27" spans="1:35" x14ac:dyDescent="0.25">
      <c r="A27" s="492"/>
      <c r="B27" s="601">
        <v>15</v>
      </c>
      <c r="C27" s="677"/>
      <c r="D27" s="677"/>
      <c r="E27" s="677"/>
      <c r="F27" s="677"/>
      <c r="G27" s="677"/>
      <c r="H27" s="677"/>
      <c r="I27" s="677"/>
      <c r="J27" s="677"/>
      <c r="K27" s="677"/>
      <c r="L27" s="677"/>
      <c r="M27" s="677"/>
      <c r="N27" s="677"/>
      <c r="O27" s="677"/>
      <c r="P27" s="677"/>
      <c r="Q27" s="677"/>
      <c r="R27" s="677"/>
      <c r="S27" s="677"/>
      <c r="T27" s="677"/>
      <c r="U27" s="677"/>
      <c r="V27" s="677"/>
      <c r="W27" s="677"/>
      <c r="X27" s="604">
        <f t="shared" si="3"/>
        <v>0</v>
      </c>
      <c r="Y27" s="502">
        <f t="shared" si="2"/>
        <v>0</v>
      </c>
      <c r="AA27" s="500">
        <v>10</v>
      </c>
      <c r="AB27" s="500">
        <v>5</v>
      </c>
      <c r="AC27" s="677"/>
      <c r="AD27" s="677"/>
      <c r="AE27" s="679"/>
      <c r="AF27" s="602">
        <f t="shared" si="1"/>
        <v>0</v>
      </c>
      <c r="AG27" s="606"/>
    </row>
    <row r="28" spans="1:35" x14ac:dyDescent="0.25">
      <c r="A28" s="492"/>
      <c r="B28" s="601">
        <v>16</v>
      </c>
      <c r="C28" s="677"/>
      <c r="D28" s="677"/>
      <c r="E28" s="677"/>
      <c r="F28" s="677"/>
      <c r="G28" s="677"/>
      <c r="H28" s="677"/>
      <c r="I28" s="677"/>
      <c r="J28" s="677"/>
      <c r="K28" s="677"/>
      <c r="L28" s="677"/>
      <c r="M28" s="677"/>
      <c r="N28" s="677"/>
      <c r="O28" s="677"/>
      <c r="P28" s="677"/>
      <c r="Q28" s="677"/>
      <c r="R28" s="677"/>
      <c r="S28" s="677"/>
      <c r="T28" s="677"/>
      <c r="U28" s="677"/>
      <c r="V28" s="677"/>
      <c r="W28" s="677"/>
      <c r="X28" s="604">
        <f t="shared" si="3"/>
        <v>0</v>
      </c>
      <c r="Y28" s="502">
        <f t="shared" si="2"/>
        <v>0</v>
      </c>
      <c r="AA28" s="500">
        <v>11</v>
      </c>
      <c r="AB28" s="500">
        <v>6</v>
      </c>
      <c r="AC28" s="677"/>
      <c r="AD28" s="677"/>
      <c r="AE28" s="679"/>
      <c r="AF28" s="602">
        <f t="shared" si="1"/>
        <v>0</v>
      </c>
      <c r="AG28" s="606"/>
    </row>
    <row r="29" spans="1:35" x14ac:dyDescent="0.25">
      <c r="A29" s="492"/>
      <c r="B29" s="601">
        <v>17</v>
      </c>
      <c r="C29" s="677"/>
      <c r="D29" s="677"/>
      <c r="E29" s="677"/>
      <c r="F29" s="677"/>
      <c r="G29" s="677"/>
      <c r="H29" s="677"/>
      <c r="I29" s="677"/>
      <c r="J29" s="677"/>
      <c r="K29" s="677"/>
      <c r="L29" s="677"/>
      <c r="M29" s="677"/>
      <c r="N29" s="677"/>
      <c r="O29" s="677"/>
      <c r="P29" s="677"/>
      <c r="Q29" s="677"/>
      <c r="R29" s="677"/>
      <c r="S29" s="677"/>
      <c r="T29" s="677"/>
      <c r="U29" s="677"/>
      <c r="V29" s="677"/>
      <c r="W29" s="677"/>
      <c r="X29" s="604">
        <f t="shared" si="3"/>
        <v>0</v>
      </c>
      <c r="Y29" s="502">
        <f t="shared" si="2"/>
        <v>0</v>
      </c>
      <c r="AA29" s="500">
        <v>12</v>
      </c>
      <c r="AB29" s="500">
        <v>6</v>
      </c>
      <c r="AC29" s="677"/>
      <c r="AD29" s="677"/>
      <c r="AE29" s="679"/>
      <c r="AF29" s="602">
        <f t="shared" si="1"/>
        <v>0</v>
      </c>
      <c r="AG29" s="606"/>
    </row>
    <row r="30" spans="1:35" x14ac:dyDescent="0.25">
      <c r="A30" s="492"/>
      <c r="B30" s="601">
        <v>18</v>
      </c>
      <c r="C30" s="677"/>
      <c r="D30" s="677"/>
      <c r="E30" s="677"/>
      <c r="F30" s="677"/>
      <c r="G30" s="677"/>
      <c r="H30" s="677"/>
      <c r="I30" s="677"/>
      <c r="J30" s="677"/>
      <c r="K30" s="677"/>
      <c r="L30" s="677"/>
      <c r="M30" s="677"/>
      <c r="N30" s="677"/>
      <c r="O30" s="677"/>
      <c r="P30" s="677"/>
      <c r="Q30" s="677"/>
      <c r="R30" s="677"/>
      <c r="S30" s="677"/>
      <c r="T30" s="677"/>
      <c r="U30" s="677"/>
      <c r="V30" s="677"/>
      <c r="W30" s="677"/>
      <c r="X30" s="604">
        <f t="shared" si="3"/>
        <v>0</v>
      </c>
      <c r="Y30" s="502">
        <f t="shared" si="2"/>
        <v>0</v>
      </c>
      <c r="AA30" s="500">
        <v>13</v>
      </c>
      <c r="AB30" s="500">
        <v>7</v>
      </c>
      <c r="AC30" s="677"/>
      <c r="AD30" s="677"/>
      <c r="AE30" s="679"/>
      <c r="AF30" s="602">
        <f t="shared" si="1"/>
        <v>0</v>
      </c>
      <c r="AG30" s="606"/>
    </row>
    <row r="31" spans="1:35" x14ac:dyDescent="0.25">
      <c r="A31" s="492"/>
      <c r="B31" s="601">
        <v>19</v>
      </c>
      <c r="C31" s="677"/>
      <c r="D31" s="677"/>
      <c r="E31" s="677"/>
      <c r="F31" s="677"/>
      <c r="G31" s="677"/>
      <c r="H31" s="677"/>
      <c r="I31" s="677"/>
      <c r="J31" s="677"/>
      <c r="K31" s="677"/>
      <c r="L31" s="677"/>
      <c r="M31" s="677"/>
      <c r="N31" s="677"/>
      <c r="O31" s="677"/>
      <c r="P31" s="677"/>
      <c r="Q31" s="677"/>
      <c r="R31" s="677"/>
      <c r="S31" s="677"/>
      <c r="T31" s="677"/>
      <c r="U31" s="677"/>
      <c r="V31" s="677"/>
      <c r="W31" s="677"/>
      <c r="X31" s="604">
        <f t="shared" si="3"/>
        <v>0</v>
      </c>
      <c r="Y31" s="502">
        <f t="shared" si="2"/>
        <v>0</v>
      </c>
      <c r="AA31" s="500">
        <v>14</v>
      </c>
      <c r="AB31" s="500">
        <v>7</v>
      </c>
      <c r="AC31" s="677"/>
      <c r="AD31" s="677"/>
      <c r="AE31" s="679"/>
      <c r="AF31" s="602">
        <f t="shared" si="1"/>
        <v>0</v>
      </c>
      <c r="AG31" s="605"/>
    </row>
    <row r="32" spans="1:35" x14ac:dyDescent="0.25">
      <c r="A32" s="492"/>
      <c r="B32" s="601">
        <v>20</v>
      </c>
      <c r="C32" s="677"/>
      <c r="D32" s="677"/>
      <c r="E32" s="677"/>
      <c r="F32" s="677"/>
      <c r="G32" s="677"/>
      <c r="H32" s="677"/>
      <c r="I32" s="677"/>
      <c r="J32" s="677"/>
      <c r="K32" s="677"/>
      <c r="L32" s="677"/>
      <c r="M32" s="677"/>
      <c r="N32" s="677"/>
      <c r="O32" s="677"/>
      <c r="P32" s="677"/>
      <c r="Q32" s="677"/>
      <c r="R32" s="677"/>
      <c r="S32" s="677"/>
      <c r="T32" s="677"/>
      <c r="U32" s="677"/>
      <c r="V32" s="677"/>
      <c r="W32" s="677"/>
      <c r="X32" s="604">
        <f t="shared" si="3"/>
        <v>0</v>
      </c>
      <c r="Y32" s="502">
        <f t="shared" si="2"/>
        <v>0</v>
      </c>
      <c r="AA32" s="500">
        <v>15</v>
      </c>
      <c r="AB32" s="500">
        <v>8</v>
      </c>
      <c r="AC32" s="677"/>
      <c r="AD32" s="677"/>
      <c r="AE32" s="679"/>
      <c r="AF32" s="602">
        <f t="shared" si="1"/>
        <v>0</v>
      </c>
      <c r="AG32" s="606"/>
    </row>
    <row r="33" spans="1:33" x14ac:dyDescent="0.25">
      <c r="A33" s="492"/>
      <c r="B33" s="601">
        <v>21</v>
      </c>
      <c r="C33" s="677"/>
      <c r="D33" s="677"/>
      <c r="E33" s="677"/>
      <c r="F33" s="677"/>
      <c r="G33" s="677"/>
      <c r="H33" s="677"/>
      <c r="I33" s="677"/>
      <c r="J33" s="677"/>
      <c r="K33" s="677"/>
      <c r="L33" s="677"/>
      <c r="M33" s="677"/>
      <c r="N33" s="677"/>
      <c r="O33" s="677"/>
      <c r="P33" s="677"/>
      <c r="Q33" s="677"/>
      <c r="R33" s="677"/>
      <c r="S33" s="677"/>
      <c r="T33" s="677"/>
      <c r="U33" s="677"/>
      <c r="V33" s="677"/>
      <c r="W33" s="677"/>
      <c r="X33" s="604">
        <f t="shared" si="3"/>
        <v>0</v>
      </c>
      <c r="Y33" s="502">
        <f t="shared" si="2"/>
        <v>0</v>
      </c>
      <c r="AA33" s="500">
        <v>16</v>
      </c>
      <c r="AB33" s="500">
        <v>8</v>
      </c>
      <c r="AC33" s="677"/>
      <c r="AD33" s="677"/>
      <c r="AE33" s="679"/>
      <c r="AF33" s="602">
        <f t="shared" si="1"/>
        <v>0</v>
      </c>
      <c r="AG33" s="606"/>
    </row>
    <row r="34" spans="1:33" x14ac:dyDescent="0.25">
      <c r="A34" s="492"/>
      <c r="B34" s="601">
        <v>22</v>
      </c>
      <c r="C34" s="677"/>
      <c r="D34" s="677"/>
      <c r="E34" s="677"/>
      <c r="F34" s="677"/>
      <c r="G34" s="677"/>
      <c r="H34" s="677"/>
      <c r="I34" s="677"/>
      <c r="J34" s="677"/>
      <c r="K34" s="677"/>
      <c r="L34" s="677"/>
      <c r="M34" s="677"/>
      <c r="N34" s="677"/>
      <c r="O34" s="677"/>
      <c r="P34" s="677"/>
      <c r="Q34" s="677"/>
      <c r="R34" s="677"/>
      <c r="S34" s="677"/>
      <c r="T34" s="677"/>
      <c r="U34" s="677"/>
      <c r="V34" s="677"/>
      <c r="W34" s="677"/>
      <c r="X34" s="604">
        <f t="shared" si="3"/>
        <v>0</v>
      </c>
      <c r="Y34" s="502">
        <f t="shared" si="2"/>
        <v>0</v>
      </c>
      <c r="AA34" s="500">
        <v>17</v>
      </c>
      <c r="AB34" s="500">
        <v>9</v>
      </c>
      <c r="AC34" s="677"/>
      <c r="AD34" s="677"/>
      <c r="AE34" s="679"/>
      <c r="AF34" s="602">
        <f t="shared" si="1"/>
        <v>0</v>
      </c>
      <c r="AG34" s="606"/>
    </row>
    <row r="35" spans="1:33" x14ac:dyDescent="0.25">
      <c r="A35" s="492"/>
      <c r="B35" s="601">
        <v>23</v>
      </c>
      <c r="C35" s="677"/>
      <c r="D35" s="677"/>
      <c r="E35" s="677"/>
      <c r="F35" s="677"/>
      <c r="G35" s="677"/>
      <c r="H35" s="677"/>
      <c r="I35" s="677"/>
      <c r="J35" s="677"/>
      <c r="K35" s="677"/>
      <c r="L35" s="677"/>
      <c r="M35" s="677"/>
      <c r="N35" s="677"/>
      <c r="O35" s="677"/>
      <c r="P35" s="677"/>
      <c r="Q35" s="677"/>
      <c r="R35" s="677"/>
      <c r="S35" s="677"/>
      <c r="T35" s="677"/>
      <c r="U35" s="677"/>
      <c r="V35" s="677"/>
      <c r="W35" s="677"/>
      <c r="X35" s="604">
        <f t="shared" si="3"/>
        <v>0</v>
      </c>
      <c r="Y35" s="502">
        <f t="shared" si="2"/>
        <v>0</v>
      </c>
      <c r="AA35" s="500">
        <v>18</v>
      </c>
      <c r="AB35" s="500">
        <v>9</v>
      </c>
      <c r="AC35" s="677"/>
      <c r="AD35" s="677"/>
      <c r="AE35" s="679"/>
      <c r="AF35" s="602">
        <f t="shared" si="1"/>
        <v>0</v>
      </c>
      <c r="AG35" s="606"/>
    </row>
    <row r="36" spans="1:33" x14ac:dyDescent="0.25">
      <c r="A36" s="492"/>
      <c r="B36" s="601">
        <v>24</v>
      </c>
      <c r="C36" s="677"/>
      <c r="D36" s="677"/>
      <c r="E36" s="677"/>
      <c r="F36" s="677"/>
      <c r="G36" s="677"/>
      <c r="H36" s="677"/>
      <c r="I36" s="677"/>
      <c r="J36" s="677"/>
      <c r="K36" s="677"/>
      <c r="L36" s="677"/>
      <c r="M36" s="677"/>
      <c r="N36" s="677"/>
      <c r="O36" s="677"/>
      <c r="P36" s="677"/>
      <c r="Q36" s="677"/>
      <c r="R36" s="677"/>
      <c r="S36" s="677"/>
      <c r="T36" s="677"/>
      <c r="U36" s="677"/>
      <c r="V36" s="677"/>
      <c r="W36" s="677"/>
      <c r="X36" s="604">
        <f t="shared" si="3"/>
        <v>0</v>
      </c>
      <c r="Y36" s="502">
        <f t="shared" si="2"/>
        <v>0</v>
      </c>
      <c r="AA36" s="500">
        <v>19</v>
      </c>
      <c r="AB36" s="500">
        <v>10</v>
      </c>
      <c r="AC36" s="677"/>
      <c r="AD36" s="677"/>
      <c r="AE36" s="679"/>
      <c r="AF36" s="602">
        <f t="shared" si="1"/>
        <v>0</v>
      </c>
      <c r="AG36" s="606"/>
    </row>
    <row r="37" spans="1:33" x14ac:dyDescent="0.25">
      <c r="A37" s="492"/>
      <c r="B37" s="601">
        <v>25</v>
      </c>
      <c r="C37" s="677"/>
      <c r="D37" s="677"/>
      <c r="E37" s="677"/>
      <c r="F37" s="677"/>
      <c r="G37" s="677"/>
      <c r="H37" s="677"/>
      <c r="I37" s="677"/>
      <c r="J37" s="677"/>
      <c r="K37" s="677"/>
      <c r="L37" s="677"/>
      <c r="M37" s="677"/>
      <c r="N37" s="677"/>
      <c r="O37" s="677"/>
      <c r="P37" s="677"/>
      <c r="Q37" s="677"/>
      <c r="R37" s="677"/>
      <c r="S37" s="677"/>
      <c r="T37" s="677"/>
      <c r="U37" s="677"/>
      <c r="V37" s="677"/>
      <c r="W37" s="677"/>
      <c r="X37" s="604">
        <f t="shared" si="3"/>
        <v>0</v>
      </c>
      <c r="Y37" s="502">
        <f t="shared" si="2"/>
        <v>0</v>
      </c>
      <c r="AA37" s="500">
        <v>20</v>
      </c>
      <c r="AB37" s="500">
        <v>10</v>
      </c>
      <c r="AC37" s="677"/>
      <c r="AD37" s="677"/>
      <c r="AE37" s="679"/>
      <c r="AF37" s="602">
        <f t="shared" si="1"/>
        <v>0</v>
      </c>
      <c r="AG37" s="606"/>
    </row>
    <row r="38" spans="1:33" x14ac:dyDescent="0.25">
      <c r="A38" s="492"/>
      <c r="B38" s="601">
        <v>26</v>
      </c>
      <c r="C38" s="677"/>
      <c r="D38" s="677"/>
      <c r="E38" s="677"/>
      <c r="F38" s="677"/>
      <c r="G38" s="677"/>
      <c r="H38" s="677"/>
      <c r="I38" s="677"/>
      <c r="J38" s="677"/>
      <c r="K38" s="677"/>
      <c r="L38" s="677"/>
      <c r="M38" s="677"/>
      <c r="N38" s="677"/>
      <c r="O38" s="677"/>
      <c r="P38" s="677"/>
      <c r="Q38" s="677"/>
      <c r="R38" s="677"/>
      <c r="S38" s="677"/>
      <c r="T38" s="677"/>
      <c r="U38" s="677"/>
      <c r="V38" s="677"/>
      <c r="W38" s="677"/>
      <c r="X38" s="604">
        <f t="shared" si="3"/>
        <v>0</v>
      </c>
      <c r="Y38" s="502">
        <f t="shared" si="2"/>
        <v>0</v>
      </c>
      <c r="AA38" s="500">
        <v>21</v>
      </c>
      <c r="AB38" s="500">
        <v>11</v>
      </c>
      <c r="AC38" s="677"/>
      <c r="AD38" s="677"/>
      <c r="AE38" s="679"/>
      <c r="AF38" s="602">
        <f t="shared" si="1"/>
        <v>0</v>
      </c>
      <c r="AG38" s="606"/>
    </row>
    <row r="39" spans="1:33" x14ac:dyDescent="0.25">
      <c r="A39" s="492"/>
      <c r="B39" s="601">
        <v>27</v>
      </c>
      <c r="C39" s="677"/>
      <c r="D39" s="677"/>
      <c r="E39" s="677"/>
      <c r="F39" s="677"/>
      <c r="G39" s="677"/>
      <c r="H39" s="677"/>
      <c r="I39" s="677"/>
      <c r="J39" s="677"/>
      <c r="K39" s="677"/>
      <c r="L39" s="677"/>
      <c r="M39" s="677"/>
      <c r="N39" s="677"/>
      <c r="O39" s="677"/>
      <c r="P39" s="677"/>
      <c r="Q39" s="677"/>
      <c r="R39" s="677"/>
      <c r="S39" s="677"/>
      <c r="T39" s="677"/>
      <c r="U39" s="677"/>
      <c r="V39" s="677"/>
      <c r="W39" s="677"/>
      <c r="X39" s="604">
        <f t="shared" si="3"/>
        <v>0</v>
      </c>
      <c r="Y39" s="502">
        <f t="shared" si="2"/>
        <v>0</v>
      </c>
      <c r="AA39" s="500">
        <v>22</v>
      </c>
      <c r="AB39" s="500">
        <v>11</v>
      </c>
      <c r="AC39" s="677"/>
      <c r="AD39" s="677"/>
      <c r="AE39" s="679"/>
      <c r="AF39" s="602">
        <f t="shared" si="1"/>
        <v>0</v>
      </c>
      <c r="AG39" s="606"/>
    </row>
    <row r="40" spans="1:33" x14ac:dyDescent="0.25">
      <c r="A40" s="492"/>
      <c r="B40" s="601">
        <v>28</v>
      </c>
      <c r="C40" s="677"/>
      <c r="D40" s="677"/>
      <c r="E40" s="677"/>
      <c r="F40" s="677"/>
      <c r="G40" s="677"/>
      <c r="H40" s="677"/>
      <c r="I40" s="677"/>
      <c r="J40" s="677"/>
      <c r="K40" s="677"/>
      <c r="L40" s="677"/>
      <c r="M40" s="677"/>
      <c r="N40" s="677"/>
      <c r="O40" s="677"/>
      <c r="P40" s="677"/>
      <c r="Q40" s="677"/>
      <c r="R40" s="677"/>
      <c r="S40" s="677"/>
      <c r="T40" s="677"/>
      <c r="U40" s="677"/>
      <c r="V40" s="677"/>
      <c r="W40" s="677"/>
      <c r="X40" s="604">
        <f t="shared" si="3"/>
        <v>0</v>
      </c>
      <c r="Y40" s="502">
        <f t="shared" si="2"/>
        <v>0</v>
      </c>
      <c r="AA40" s="500">
        <v>23</v>
      </c>
      <c r="AB40" s="500">
        <v>12</v>
      </c>
      <c r="AC40" s="677"/>
      <c r="AD40" s="677"/>
      <c r="AE40" s="679"/>
      <c r="AF40" s="602">
        <f t="shared" si="1"/>
        <v>0</v>
      </c>
      <c r="AG40" s="606"/>
    </row>
    <row r="41" spans="1:33" x14ac:dyDescent="0.25">
      <c r="A41" s="492"/>
      <c r="B41" s="601">
        <v>29</v>
      </c>
      <c r="C41" s="677"/>
      <c r="D41" s="677"/>
      <c r="E41" s="677"/>
      <c r="F41" s="677"/>
      <c r="G41" s="677"/>
      <c r="H41" s="677"/>
      <c r="I41" s="677"/>
      <c r="J41" s="677"/>
      <c r="K41" s="677"/>
      <c r="L41" s="677"/>
      <c r="M41" s="677"/>
      <c r="N41" s="677"/>
      <c r="O41" s="677"/>
      <c r="P41" s="677"/>
      <c r="Q41" s="677"/>
      <c r="R41" s="677"/>
      <c r="S41" s="677"/>
      <c r="T41" s="677"/>
      <c r="U41" s="677"/>
      <c r="V41" s="677"/>
      <c r="W41" s="677"/>
      <c r="X41" s="604">
        <f t="shared" si="3"/>
        <v>0</v>
      </c>
      <c r="Y41" s="502">
        <f t="shared" si="2"/>
        <v>0</v>
      </c>
      <c r="AA41" s="500">
        <v>24</v>
      </c>
      <c r="AB41" s="500">
        <v>12</v>
      </c>
      <c r="AC41" s="677"/>
      <c r="AD41" s="677"/>
      <c r="AE41" s="679"/>
      <c r="AF41" s="602">
        <f t="shared" si="1"/>
        <v>0</v>
      </c>
      <c r="AG41" s="497"/>
    </row>
    <row r="42" spans="1:33" x14ac:dyDescent="0.25">
      <c r="A42" s="492"/>
      <c r="B42" s="601">
        <v>30</v>
      </c>
      <c r="C42" s="677"/>
      <c r="D42" s="677"/>
      <c r="E42" s="677"/>
      <c r="F42" s="677"/>
      <c r="G42" s="677"/>
      <c r="H42" s="677"/>
      <c r="I42" s="677"/>
      <c r="J42" s="677"/>
      <c r="K42" s="677"/>
      <c r="L42" s="677"/>
      <c r="M42" s="677"/>
      <c r="N42" s="677"/>
      <c r="O42" s="677"/>
      <c r="P42" s="677"/>
      <c r="Q42" s="677"/>
      <c r="R42" s="677"/>
      <c r="S42" s="677"/>
      <c r="T42" s="677"/>
      <c r="U42" s="677"/>
      <c r="V42" s="677"/>
      <c r="W42" s="677"/>
      <c r="X42" s="604">
        <f t="shared" si="3"/>
        <v>0</v>
      </c>
      <c r="Y42" s="502">
        <f t="shared" si="2"/>
        <v>0</v>
      </c>
      <c r="AA42" s="500">
        <v>25</v>
      </c>
      <c r="AB42" s="500">
        <v>13</v>
      </c>
      <c r="AC42" s="677"/>
      <c r="AD42" s="677"/>
      <c r="AE42" s="679"/>
      <c r="AF42" s="602">
        <f t="shared" si="1"/>
        <v>0</v>
      </c>
      <c r="AG42" s="497"/>
    </row>
    <row r="43" spans="1:33" x14ac:dyDescent="0.25">
      <c r="A43" s="492"/>
      <c r="B43" s="601">
        <v>31</v>
      </c>
      <c r="C43" s="677"/>
      <c r="D43" s="677"/>
      <c r="E43" s="677"/>
      <c r="F43" s="677"/>
      <c r="G43" s="677"/>
      <c r="H43" s="677"/>
      <c r="I43" s="677"/>
      <c r="J43" s="677"/>
      <c r="K43" s="677"/>
      <c r="L43" s="677"/>
      <c r="M43" s="677"/>
      <c r="N43" s="677"/>
      <c r="O43" s="677"/>
      <c r="P43" s="677"/>
      <c r="Q43" s="677"/>
      <c r="R43" s="677"/>
      <c r="S43" s="677"/>
      <c r="T43" s="677"/>
      <c r="U43" s="677"/>
      <c r="V43" s="677"/>
      <c r="W43" s="677"/>
      <c r="X43" s="604">
        <f t="shared" si="3"/>
        <v>0</v>
      </c>
      <c r="Y43" s="502">
        <f t="shared" si="2"/>
        <v>0</v>
      </c>
      <c r="AA43" s="500">
        <v>26</v>
      </c>
      <c r="AB43" s="500">
        <v>13</v>
      </c>
      <c r="AC43" s="677"/>
      <c r="AD43" s="677"/>
      <c r="AE43" s="679"/>
      <c r="AF43" s="602">
        <f t="shared" si="1"/>
        <v>0</v>
      </c>
      <c r="AG43" s="497"/>
    </row>
    <row r="44" spans="1:33" x14ac:dyDescent="0.25">
      <c r="A44" s="492"/>
      <c r="B44" s="601">
        <v>32</v>
      </c>
      <c r="C44" s="677"/>
      <c r="D44" s="677"/>
      <c r="E44" s="677"/>
      <c r="F44" s="677"/>
      <c r="G44" s="677"/>
      <c r="H44" s="677"/>
      <c r="I44" s="677"/>
      <c r="J44" s="677"/>
      <c r="K44" s="677"/>
      <c r="L44" s="677"/>
      <c r="M44" s="677"/>
      <c r="N44" s="677"/>
      <c r="O44" s="677"/>
      <c r="P44" s="677"/>
      <c r="Q44" s="677"/>
      <c r="R44" s="677"/>
      <c r="S44" s="677"/>
      <c r="T44" s="677"/>
      <c r="U44" s="677"/>
      <c r="V44" s="677"/>
      <c r="W44" s="677"/>
      <c r="X44" s="604">
        <f t="shared" si="3"/>
        <v>0</v>
      </c>
      <c r="Y44" s="502">
        <f t="shared" si="2"/>
        <v>0</v>
      </c>
      <c r="AA44" s="500">
        <v>27</v>
      </c>
      <c r="AB44" s="500">
        <v>14</v>
      </c>
      <c r="AC44" s="677"/>
      <c r="AD44" s="677"/>
      <c r="AE44" s="679"/>
      <c r="AF44" s="602">
        <f t="shared" si="1"/>
        <v>0</v>
      </c>
      <c r="AG44" s="497"/>
    </row>
    <row r="45" spans="1:33" x14ac:dyDescent="0.25">
      <c r="A45" s="492"/>
      <c r="B45" s="601">
        <v>33</v>
      </c>
      <c r="C45" s="677"/>
      <c r="D45" s="677"/>
      <c r="E45" s="677"/>
      <c r="F45" s="677"/>
      <c r="G45" s="677"/>
      <c r="H45" s="677"/>
      <c r="I45" s="677"/>
      <c r="J45" s="677"/>
      <c r="K45" s="677"/>
      <c r="L45" s="677"/>
      <c r="M45" s="677"/>
      <c r="N45" s="677"/>
      <c r="O45" s="677"/>
      <c r="P45" s="677"/>
      <c r="Q45" s="677"/>
      <c r="R45" s="677"/>
      <c r="S45" s="677"/>
      <c r="T45" s="677"/>
      <c r="U45" s="677"/>
      <c r="V45" s="677"/>
      <c r="W45" s="677"/>
      <c r="X45" s="604">
        <f t="shared" si="3"/>
        <v>0</v>
      </c>
      <c r="Y45" s="502">
        <f t="shared" si="2"/>
        <v>0</v>
      </c>
      <c r="AA45" s="500">
        <v>28</v>
      </c>
      <c r="AB45" s="500">
        <v>14</v>
      </c>
      <c r="AC45" s="677"/>
      <c r="AD45" s="677"/>
      <c r="AE45" s="679"/>
      <c r="AF45" s="602">
        <f t="shared" si="1"/>
        <v>0</v>
      </c>
      <c r="AG45" s="497"/>
    </row>
    <row r="46" spans="1:33" x14ac:dyDescent="0.25">
      <c r="A46" s="492"/>
      <c r="B46" s="601">
        <v>34</v>
      </c>
      <c r="C46" s="677"/>
      <c r="D46" s="677"/>
      <c r="E46" s="677"/>
      <c r="F46" s="677"/>
      <c r="G46" s="677"/>
      <c r="H46" s="677"/>
      <c r="I46" s="677"/>
      <c r="J46" s="677"/>
      <c r="K46" s="677"/>
      <c r="L46" s="677"/>
      <c r="M46" s="677"/>
      <c r="N46" s="677"/>
      <c r="O46" s="677"/>
      <c r="P46" s="677"/>
      <c r="Q46" s="677"/>
      <c r="R46" s="677"/>
      <c r="S46" s="677"/>
      <c r="T46" s="677"/>
      <c r="U46" s="677"/>
      <c r="V46" s="677"/>
      <c r="W46" s="677"/>
      <c r="X46" s="604">
        <f t="shared" si="3"/>
        <v>0</v>
      </c>
      <c r="Y46" s="502">
        <f t="shared" si="2"/>
        <v>0</v>
      </c>
      <c r="AA46" s="500">
        <v>29</v>
      </c>
      <c r="AB46" s="500">
        <v>15</v>
      </c>
      <c r="AC46" s="677"/>
      <c r="AD46" s="677"/>
      <c r="AE46" s="679"/>
      <c r="AF46" s="602">
        <f t="shared" si="1"/>
        <v>0</v>
      </c>
      <c r="AG46" s="497"/>
    </row>
    <row r="47" spans="1:33" x14ac:dyDescent="0.25">
      <c r="A47" s="492"/>
      <c r="B47" s="601">
        <v>35</v>
      </c>
      <c r="C47" s="677"/>
      <c r="D47" s="677"/>
      <c r="E47" s="677"/>
      <c r="F47" s="677"/>
      <c r="G47" s="677"/>
      <c r="H47" s="677"/>
      <c r="I47" s="677"/>
      <c r="J47" s="677"/>
      <c r="K47" s="677"/>
      <c r="L47" s="677"/>
      <c r="M47" s="677"/>
      <c r="N47" s="677"/>
      <c r="O47" s="677"/>
      <c r="P47" s="677"/>
      <c r="Q47" s="677"/>
      <c r="R47" s="677"/>
      <c r="S47" s="677"/>
      <c r="T47" s="677"/>
      <c r="U47" s="677"/>
      <c r="V47" s="677"/>
      <c r="W47" s="677"/>
      <c r="X47" s="604">
        <f t="shared" si="3"/>
        <v>0</v>
      </c>
      <c r="Y47" s="502">
        <f t="shared" si="2"/>
        <v>0</v>
      </c>
      <c r="AA47" s="500">
        <v>30</v>
      </c>
      <c r="AB47" s="500">
        <v>15</v>
      </c>
      <c r="AC47" s="677"/>
      <c r="AD47" s="677"/>
      <c r="AE47" s="679"/>
      <c r="AF47" s="602">
        <f t="shared" si="1"/>
        <v>0</v>
      </c>
      <c r="AG47" s="497"/>
    </row>
    <row r="48" spans="1:33" x14ac:dyDescent="0.25">
      <c r="A48" s="492"/>
      <c r="B48" s="601">
        <v>36</v>
      </c>
      <c r="C48" s="677"/>
      <c r="D48" s="677"/>
      <c r="E48" s="677"/>
      <c r="F48" s="677"/>
      <c r="G48" s="677"/>
      <c r="H48" s="677"/>
      <c r="I48" s="677"/>
      <c r="J48" s="677"/>
      <c r="K48" s="677"/>
      <c r="L48" s="677"/>
      <c r="M48" s="677"/>
      <c r="N48" s="677"/>
      <c r="O48" s="677"/>
      <c r="P48" s="677"/>
      <c r="Q48" s="677"/>
      <c r="R48" s="677"/>
      <c r="S48" s="677"/>
      <c r="T48" s="677"/>
      <c r="U48" s="677"/>
      <c r="V48" s="677"/>
      <c r="W48" s="677"/>
      <c r="X48" s="604">
        <f t="shared" si="3"/>
        <v>0</v>
      </c>
      <c r="Y48" s="502">
        <f t="shared" si="2"/>
        <v>0</v>
      </c>
      <c r="AA48" s="500">
        <v>31</v>
      </c>
      <c r="AB48" s="500">
        <v>16</v>
      </c>
      <c r="AC48" s="677"/>
      <c r="AD48" s="677"/>
      <c r="AE48" s="679"/>
      <c r="AF48" s="602">
        <f t="shared" si="1"/>
        <v>0</v>
      </c>
      <c r="AG48" s="497"/>
    </row>
    <row r="49" spans="1:33" x14ac:dyDescent="0.25">
      <c r="A49" s="492"/>
      <c r="B49" s="601">
        <v>37</v>
      </c>
      <c r="C49" s="677"/>
      <c r="D49" s="677"/>
      <c r="E49" s="677"/>
      <c r="F49" s="677"/>
      <c r="G49" s="677"/>
      <c r="H49" s="677"/>
      <c r="I49" s="677"/>
      <c r="J49" s="677"/>
      <c r="K49" s="677"/>
      <c r="L49" s="677"/>
      <c r="M49" s="677"/>
      <c r="N49" s="677"/>
      <c r="O49" s="677"/>
      <c r="P49" s="677"/>
      <c r="Q49" s="677"/>
      <c r="R49" s="677"/>
      <c r="S49" s="677"/>
      <c r="T49" s="677"/>
      <c r="U49" s="677"/>
      <c r="V49" s="677"/>
      <c r="W49" s="677"/>
      <c r="X49" s="604">
        <f t="shared" si="3"/>
        <v>0</v>
      </c>
      <c r="Y49" s="502">
        <f t="shared" si="2"/>
        <v>0</v>
      </c>
      <c r="AA49" s="500">
        <v>32</v>
      </c>
      <c r="AB49" s="500">
        <v>16</v>
      </c>
      <c r="AC49" s="677"/>
      <c r="AD49" s="677"/>
      <c r="AE49" s="679"/>
      <c r="AF49" s="602">
        <f t="shared" si="1"/>
        <v>0</v>
      </c>
      <c r="AG49" s="497"/>
    </row>
    <row r="50" spans="1:33" x14ac:dyDescent="0.25">
      <c r="A50" s="492"/>
      <c r="B50" s="601">
        <v>38</v>
      </c>
      <c r="C50" s="677"/>
      <c r="D50" s="677"/>
      <c r="E50" s="677"/>
      <c r="F50" s="677"/>
      <c r="G50" s="677"/>
      <c r="H50" s="677"/>
      <c r="I50" s="677"/>
      <c r="J50" s="677"/>
      <c r="K50" s="677"/>
      <c r="L50" s="677"/>
      <c r="M50" s="677"/>
      <c r="N50" s="677"/>
      <c r="O50" s="677"/>
      <c r="P50" s="677"/>
      <c r="Q50" s="677"/>
      <c r="R50" s="677"/>
      <c r="S50" s="677"/>
      <c r="T50" s="677"/>
      <c r="U50" s="677"/>
      <c r="V50" s="677"/>
      <c r="W50" s="677"/>
      <c r="X50" s="604">
        <f t="shared" si="3"/>
        <v>0</v>
      </c>
      <c r="Y50" s="502">
        <f t="shared" si="2"/>
        <v>0</v>
      </c>
      <c r="AA50" s="500">
        <v>33</v>
      </c>
      <c r="AB50" s="500">
        <v>17</v>
      </c>
      <c r="AC50" s="677"/>
      <c r="AD50" s="677"/>
      <c r="AE50" s="679"/>
      <c r="AF50" s="602">
        <f t="shared" si="1"/>
        <v>0</v>
      </c>
      <c r="AG50" s="497"/>
    </row>
    <row r="51" spans="1:33" x14ac:dyDescent="0.25">
      <c r="A51" s="492"/>
      <c r="B51" s="601">
        <v>39</v>
      </c>
      <c r="C51" s="677"/>
      <c r="D51" s="677"/>
      <c r="E51" s="677"/>
      <c r="F51" s="677"/>
      <c r="G51" s="677"/>
      <c r="H51" s="677"/>
      <c r="I51" s="677"/>
      <c r="J51" s="677"/>
      <c r="K51" s="677"/>
      <c r="L51" s="677"/>
      <c r="M51" s="677"/>
      <c r="N51" s="677"/>
      <c r="O51" s="677"/>
      <c r="P51" s="677"/>
      <c r="Q51" s="677"/>
      <c r="R51" s="677"/>
      <c r="S51" s="677"/>
      <c r="T51" s="677"/>
      <c r="U51" s="677"/>
      <c r="V51" s="677"/>
      <c r="W51" s="677"/>
      <c r="X51" s="604">
        <f t="shared" si="3"/>
        <v>0</v>
      </c>
      <c r="Y51" s="502">
        <f t="shared" si="2"/>
        <v>0</v>
      </c>
      <c r="AA51" s="500">
        <v>34</v>
      </c>
      <c r="AB51" s="500">
        <v>17</v>
      </c>
      <c r="AC51" s="677"/>
      <c r="AD51" s="677"/>
      <c r="AE51" s="679"/>
      <c r="AF51" s="602">
        <f t="shared" si="1"/>
        <v>0</v>
      </c>
      <c r="AG51" s="497"/>
    </row>
    <row r="52" spans="1:33" ht="15.75" thickBot="1" x14ac:dyDescent="0.3">
      <c r="A52" s="492"/>
      <c r="B52" s="607">
        <v>40</v>
      </c>
      <c r="C52" s="678"/>
      <c r="D52" s="678"/>
      <c r="E52" s="678"/>
      <c r="F52" s="678"/>
      <c r="G52" s="678"/>
      <c r="H52" s="678"/>
      <c r="I52" s="678"/>
      <c r="J52" s="678"/>
      <c r="K52" s="678"/>
      <c r="L52" s="678"/>
      <c r="M52" s="678"/>
      <c r="N52" s="678"/>
      <c r="O52" s="678"/>
      <c r="P52" s="678"/>
      <c r="Q52" s="678"/>
      <c r="R52" s="678"/>
      <c r="S52" s="678"/>
      <c r="T52" s="678"/>
      <c r="U52" s="678"/>
      <c r="V52" s="678"/>
      <c r="W52" s="678"/>
      <c r="X52" s="604">
        <f t="shared" si="3"/>
        <v>0</v>
      </c>
      <c r="Y52" s="502">
        <f t="shared" si="2"/>
        <v>0</v>
      </c>
      <c r="AA52" s="500">
        <v>35</v>
      </c>
      <c r="AB52" s="500">
        <v>18</v>
      </c>
      <c r="AC52" s="677"/>
      <c r="AD52" s="677"/>
      <c r="AE52" s="679"/>
      <c r="AF52" s="602">
        <f t="shared" si="1"/>
        <v>0</v>
      </c>
      <c r="AG52" s="497"/>
    </row>
    <row r="53" spans="1:33" ht="16.5" thickTop="1" thickBot="1" x14ac:dyDescent="0.3">
      <c r="A53" s="492"/>
      <c r="B53" s="608" t="s">
        <v>2</v>
      </c>
      <c r="C53" s="609">
        <f>SUM(C19:C52)</f>
        <v>0</v>
      </c>
      <c r="D53" s="609">
        <f t="shared" ref="D53:X53" si="4">SUM(D19:D52)</f>
        <v>0</v>
      </c>
      <c r="E53" s="609">
        <f t="shared" si="4"/>
        <v>0</v>
      </c>
      <c r="F53" s="609">
        <f t="shared" si="4"/>
        <v>0</v>
      </c>
      <c r="G53" s="609">
        <f t="shared" si="4"/>
        <v>0</v>
      </c>
      <c r="H53" s="609">
        <f t="shared" si="4"/>
        <v>0</v>
      </c>
      <c r="I53" s="609">
        <f t="shared" si="4"/>
        <v>0</v>
      </c>
      <c r="J53" s="609">
        <f t="shared" si="4"/>
        <v>0</v>
      </c>
      <c r="K53" s="609">
        <f t="shared" si="4"/>
        <v>0</v>
      </c>
      <c r="L53" s="609">
        <f t="shared" si="4"/>
        <v>0</v>
      </c>
      <c r="M53" s="609">
        <f t="shared" si="4"/>
        <v>0</v>
      </c>
      <c r="N53" s="609">
        <f t="shared" si="4"/>
        <v>0</v>
      </c>
      <c r="O53" s="609">
        <f t="shared" si="4"/>
        <v>0</v>
      </c>
      <c r="P53" s="609">
        <f t="shared" si="4"/>
        <v>0</v>
      </c>
      <c r="Q53" s="609">
        <f t="shared" si="4"/>
        <v>0</v>
      </c>
      <c r="R53" s="609">
        <f t="shared" si="4"/>
        <v>0</v>
      </c>
      <c r="S53" s="609">
        <f t="shared" si="4"/>
        <v>0</v>
      </c>
      <c r="T53" s="609">
        <f t="shared" si="4"/>
        <v>0</v>
      </c>
      <c r="U53" s="609">
        <f t="shared" si="4"/>
        <v>0</v>
      </c>
      <c r="V53" s="609">
        <f t="shared" si="4"/>
        <v>0</v>
      </c>
      <c r="W53" s="609">
        <f t="shared" si="4"/>
        <v>0</v>
      </c>
      <c r="X53" s="609">
        <f t="shared" si="4"/>
        <v>0</v>
      </c>
      <c r="Y53" s="610">
        <f>SUM(Y19:Y52)</f>
        <v>0</v>
      </c>
      <c r="AA53" s="500">
        <v>36</v>
      </c>
      <c r="AB53" s="500">
        <v>18</v>
      </c>
      <c r="AC53" s="677"/>
      <c r="AD53" s="677"/>
      <c r="AE53" s="679"/>
      <c r="AF53" s="602">
        <f t="shared" si="1"/>
        <v>0</v>
      </c>
      <c r="AG53" s="497"/>
    </row>
    <row r="54" spans="1:33" ht="15.75" thickTop="1" x14ac:dyDescent="0.25">
      <c r="A54" s="492"/>
      <c r="B54" s="508"/>
      <c r="C54" s="495"/>
      <c r="D54" s="495"/>
      <c r="E54" s="495"/>
      <c r="F54" s="495"/>
      <c r="G54" s="495"/>
      <c r="H54" s="495"/>
      <c r="I54" s="495"/>
      <c r="J54" s="495"/>
      <c r="K54" s="495"/>
      <c r="L54" s="495"/>
      <c r="M54" s="495"/>
      <c r="N54" s="495"/>
      <c r="O54" s="495"/>
      <c r="P54" s="495"/>
      <c r="Q54" s="495"/>
      <c r="R54" s="495"/>
      <c r="S54" s="495"/>
      <c r="T54" s="495"/>
      <c r="U54" s="495"/>
      <c r="V54" s="495"/>
      <c r="W54" s="503"/>
      <c r="X54" s="611"/>
      <c r="Y54" s="503"/>
      <c r="AA54" s="500">
        <v>37</v>
      </c>
      <c r="AB54" s="500">
        <v>19</v>
      </c>
      <c r="AC54" s="677"/>
      <c r="AD54" s="677"/>
      <c r="AE54" s="679"/>
      <c r="AF54" s="602">
        <f t="shared" si="1"/>
        <v>0</v>
      </c>
      <c r="AG54" s="497"/>
    </row>
    <row r="55" spans="1:33" x14ac:dyDescent="0.25">
      <c r="A55" s="492"/>
      <c r="B55" s="587"/>
      <c r="C55" s="528"/>
      <c r="D55" s="528"/>
      <c r="E55" s="528"/>
      <c r="F55" s="528"/>
      <c r="G55" s="528"/>
      <c r="H55" s="528"/>
      <c r="I55" s="528"/>
      <c r="J55" s="495"/>
      <c r="K55" s="495"/>
      <c r="L55" s="495"/>
      <c r="M55" s="495"/>
      <c r="N55" s="495"/>
      <c r="O55" s="495"/>
      <c r="P55" s="495"/>
      <c r="Q55" s="495"/>
      <c r="R55" s="495"/>
      <c r="S55" s="495"/>
      <c r="T55" s="495"/>
      <c r="U55" s="495"/>
      <c r="V55" s="495"/>
      <c r="W55" s="495"/>
      <c r="X55" s="495"/>
      <c r="Y55" s="495"/>
      <c r="AA55" s="500">
        <v>38</v>
      </c>
      <c r="AB55" s="500">
        <v>19</v>
      </c>
      <c r="AC55" s="677"/>
      <c r="AD55" s="677"/>
      <c r="AE55" s="679"/>
      <c r="AF55" s="602">
        <f t="shared" si="1"/>
        <v>0</v>
      </c>
      <c r="AG55" s="497"/>
    </row>
    <row r="56" spans="1:33" x14ac:dyDescent="0.25">
      <c r="A56" s="492"/>
      <c r="B56" s="587"/>
      <c r="C56" s="528"/>
      <c r="D56" s="528"/>
      <c r="E56" s="528"/>
      <c r="F56" s="528"/>
      <c r="G56" s="528"/>
      <c r="H56" s="528"/>
      <c r="I56" s="528"/>
      <c r="J56" s="495"/>
      <c r="K56" s="495"/>
      <c r="L56" s="495"/>
      <c r="M56" s="495"/>
      <c r="N56" s="495"/>
      <c r="O56" s="495"/>
      <c r="P56" s="495"/>
      <c r="Q56" s="495"/>
      <c r="R56" s="495"/>
      <c r="S56" s="495"/>
      <c r="T56" s="495"/>
      <c r="U56" s="495"/>
      <c r="V56" s="495"/>
      <c r="W56" s="495"/>
      <c r="X56" s="495"/>
      <c r="Y56" s="495"/>
      <c r="AA56" s="500">
        <v>39</v>
      </c>
      <c r="AB56" s="500">
        <v>20</v>
      </c>
      <c r="AC56" s="677"/>
      <c r="AD56" s="677"/>
      <c r="AE56" s="679"/>
      <c r="AF56" s="602">
        <f t="shared" si="1"/>
        <v>0</v>
      </c>
      <c r="AG56" s="497"/>
    </row>
    <row r="57" spans="1:33" x14ac:dyDescent="0.25">
      <c r="A57" s="492"/>
      <c r="B57" s="528"/>
      <c r="C57" s="528"/>
      <c r="D57" s="528"/>
      <c r="E57" s="528"/>
      <c r="F57" s="528"/>
      <c r="G57" s="528"/>
      <c r="H57" s="528"/>
      <c r="I57" s="528"/>
      <c r="J57" s="495"/>
      <c r="K57" s="495"/>
      <c r="L57" s="495"/>
      <c r="M57" s="495"/>
      <c r="N57" s="495"/>
      <c r="O57" s="495"/>
      <c r="P57" s="495"/>
      <c r="Q57" s="495"/>
      <c r="R57" s="495"/>
      <c r="S57" s="495"/>
      <c r="T57" s="495"/>
      <c r="U57" s="495"/>
      <c r="V57" s="495"/>
      <c r="W57" s="495"/>
      <c r="X57" s="495"/>
      <c r="Y57" s="495"/>
      <c r="AA57" s="500">
        <v>40</v>
      </c>
      <c r="AB57" s="500">
        <v>20</v>
      </c>
      <c r="AC57" s="677"/>
      <c r="AD57" s="677"/>
      <c r="AE57" s="679"/>
      <c r="AF57" s="602">
        <f t="shared" si="1"/>
        <v>0</v>
      </c>
      <c r="AG57" s="497"/>
    </row>
    <row r="58" spans="1:33" x14ac:dyDescent="0.25">
      <c r="A58" s="492"/>
      <c r="B58" s="528"/>
      <c r="C58" s="528"/>
      <c r="D58" s="528"/>
      <c r="E58" s="528"/>
      <c r="F58" s="528"/>
      <c r="G58" s="528"/>
      <c r="H58" s="528"/>
      <c r="I58" s="528"/>
      <c r="J58" s="495"/>
      <c r="K58" s="495"/>
      <c r="L58" s="495"/>
      <c r="M58" s="495"/>
      <c r="N58" s="495"/>
      <c r="O58" s="495"/>
      <c r="P58" s="495"/>
      <c r="Q58" s="495"/>
      <c r="R58" s="495"/>
      <c r="S58" s="495"/>
      <c r="T58" s="495"/>
      <c r="U58" s="495"/>
      <c r="V58" s="495"/>
      <c r="W58" s="495"/>
      <c r="X58" s="495"/>
      <c r="Y58" s="495"/>
      <c r="AA58" s="500">
        <v>41</v>
      </c>
      <c r="AB58" s="500">
        <v>21</v>
      </c>
      <c r="AC58" s="677"/>
      <c r="AD58" s="677"/>
      <c r="AE58" s="679"/>
      <c r="AF58" s="602">
        <f t="shared" si="1"/>
        <v>0</v>
      </c>
      <c r="AG58" s="497"/>
    </row>
    <row r="59" spans="1:33" x14ac:dyDescent="0.25">
      <c r="A59" s="492"/>
      <c r="B59" s="528"/>
      <c r="C59" s="528"/>
      <c r="D59" s="528"/>
      <c r="E59" s="528"/>
      <c r="F59" s="528"/>
      <c r="G59" s="528"/>
      <c r="H59" s="528"/>
      <c r="I59" s="528"/>
      <c r="J59" s="495"/>
      <c r="K59" s="495"/>
      <c r="L59" s="495"/>
      <c r="M59" s="495"/>
      <c r="N59" s="495"/>
      <c r="O59" s="495"/>
      <c r="P59" s="495"/>
      <c r="Q59" s="495"/>
      <c r="R59" s="495"/>
      <c r="S59" s="495"/>
      <c r="T59" s="495"/>
      <c r="U59" s="495"/>
      <c r="V59" s="495"/>
      <c r="W59" s="495"/>
      <c r="X59" s="495"/>
      <c r="Y59" s="495"/>
      <c r="AA59" s="500">
        <v>42</v>
      </c>
      <c r="AB59" s="500">
        <v>21</v>
      </c>
      <c r="AC59" s="677"/>
      <c r="AD59" s="677"/>
      <c r="AE59" s="679"/>
      <c r="AF59" s="602">
        <f t="shared" si="1"/>
        <v>0</v>
      </c>
      <c r="AG59" s="497"/>
    </row>
    <row r="60" spans="1:33" ht="6" customHeight="1" thickBot="1" x14ac:dyDescent="0.3">
      <c r="A60" s="612"/>
      <c r="B60" s="525"/>
      <c r="C60" s="525"/>
      <c r="D60" s="525"/>
      <c r="E60" s="525"/>
      <c r="F60" s="525"/>
      <c r="G60" s="525"/>
      <c r="H60" s="525"/>
      <c r="I60" s="525"/>
      <c r="J60" s="613"/>
      <c r="K60" s="613"/>
      <c r="L60" s="613"/>
      <c r="M60" s="613"/>
      <c r="N60" s="613"/>
      <c r="O60" s="613"/>
      <c r="P60" s="613"/>
      <c r="Q60" s="613"/>
      <c r="R60" s="613"/>
      <c r="S60" s="613"/>
      <c r="T60" s="613"/>
      <c r="U60" s="613"/>
      <c r="V60" s="613"/>
      <c r="W60" s="613"/>
      <c r="X60" s="613"/>
      <c r="Y60" s="613"/>
      <c r="Z60" s="613"/>
      <c r="AA60" s="525"/>
      <c r="AB60" s="525"/>
      <c r="AC60" s="525"/>
      <c r="AD60" s="525"/>
      <c r="AE60" s="525"/>
      <c r="AF60" s="614"/>
      <c r="AG60" s="615"/>
    </row>
    <row r="61" spans="1:33" x14ac:dyDescent="0.25">
      <c r="B61" s="528"/>
      <c r="C61" s="528"/>
      <c r="D61" s="528"/>
      <c r="E61" s="528"/>
      <c r="F61" s="528"/>
      <c r="G61" s="528"/>
      <c r="H61" s="528"/>
      <c r="I61" s="528"/>
    </row>
    <row r="62" spans="1:33" ht="15.75" thickBot="1" x14ac:dyDescent="0.3">
      <c r="B62" s="587" t="s">
        <v>442</v>
      </c>
      <c r="C62" s="528"/>
      <c r="D62" s="528"/>
      <c r="E62" s="528"/>
      <c r="F62" s="528"/>
      <c r="G62" s="528"/>
      <c r="H62" s="528"/>
      <c r="I62" s="528"/>
    </row>
    <row r="63" spans="1:33" ht="40.5" customHeight="1" thickTop="1" thickBot="1" x14ac:dyDescent="0.3">
      <c r="B63" s="616" t="s">
        <v>356</v>
      </c>
      <c r="C63" s="576"/>
      <c r="D63" s="576"/>
      <c r="E63" s="576"/>
      <c r="F63" s="617"/>
      <c r="H63" s="618" t="s">
        <v>219</v>
      </c>
      <c r="I63" s="619"/>
      <c r="J63" s="619"/>
      <c r="K63" s="620"/>
      <c r="L63" s="621"/>
      <c r="N63" s="768" t="s">
        <v>359</v>
      </c>
      <c r="O63" s="769"/>
      <c r="P63" s="769"/>
      <c r="Q63" s="769"/>
      <c r="R63" s="770"/>
      <c r="S63" s="622"/>
      <c r="AA63" s="623" t="s">
        <v>31</v>
      </c>
      <c r="AB63" s="624"/>
      <c r="AC63" s="624"/>
      <c r="AD63" s="625"/>
      <c r="AE63" s="626"/>
    </row>
    <row r="64" spans="1:33" ht="15.75" thickBot="1" x14ac:dyDescent="0.3">
      <c r="B64" s="627" t="s">
        <v>172</v>
      </c>
      <c r="C64" s="578"/>
      <c r="D64" s="594"/>
      <c r="E64" s="738" t="e">
        <f>VLOOKUP(SPecies,'Lookup Values'!O4:P90,2,FALSE)</f>
        <v>#N/A</v>
      </c>
      <c r="F64" s="739"/>
      <c r="H64" s="545" t="s">
        <v>326</v>
      </c>
      <c r="I64" s="538"/>
      <c r="J64" s="538"/>
      <c r="K64" s="628"/>
      <c r="L64" s="629" t="str">
        <f>VLOOKUP(SPecies,'Lookup Values'!O3:T90,3,FALSE)</f>
        <v>For Tarriff use this species</v>
      </c>
      <c r="N64" s="771" t="s">
        <v>358</v>
      </c>
      <c r="O64" s="772"/>
      <c r="P64" s="772"/>
      <c r="Q64" s="772"/>
      <c r="R64" s="773" t="e">
        <f>ROUNDDOWN(AVERAGEIF($AF$18:$AF$59,"&gt;0",$AF$18:$AF$59),0)</f>
        <v>#DIV/0!</v>
      </c>
      <c r="S64" s="527"/>
      <c r="AA64" s="630" t="s">
        <v>369</v>
      </c>
      <c r="AB64" s="625"/>
      <c r="AC64" s="625"/>
      <c r="AD64" s="625"/>
      <c r="AE64" s="626"/>
    </row>
    <row r="65" spans="2:36" x14ac:dyDescent="0.25">
      <c r="B65" s="627" t="s">
        <v>6</v>
      </c>
      <c r="C65" s="578"/>
      <c r="D65" s="594"/>
      <c r="E65" s="740">
        <f>X53</f>
        <v>0</v>
      </c>
      <c r="F65" s="739"/>
      <c r="H65" s="545" t="s">
        <v>215</v>
      </c>
      <c r="I65" s="538"/>
      <c r="J65" s="631" t="e">
        <f>VLOOKUP(L64,'Lookup Values'!$W$4:$AA$22,2,FALSE)</f>
        <v>#N/A</v>
      </c>
      <c r="K65" s="628"/>
      <c r="L65" s="632"/>
      <c r="N65" s="771"/>
      <c r="O65" s="772"/>
      <c r="P65" s="772"/>
      <c r="Q65" s="772"/>
      <c r="R65" s="774"/>
      <c r="S65" s="527"/>
      <c r="AA65" s="633" t="s">
        <v>24</v>
      </c>
      <c r="AB65" s="634">
        <v>3.6054099999999999E-2</v>
      </c>
      <c r="AC65" s="635" t="s">
        <v>26</v>
      </c>
      <c r="AD65" s="634">
        <v>0.315049301</v>
      </c>
      <c r="AE65" s="636"/>
      <c r="AF65" s="527"/>
      <c r="AG65" s="527"/>
      <c r="AH65" s="527"/>
      <c r="AI65" s="527"/>
    </row>
    <row r="66" spans="2:36" x14ac:dyDescent="0.25">
      <c r="B66" s="627" t="s">
        <v>355</v>
      </c>
      <c r="C66" s="578"/>
      <c r="D66" s="594"/>
      <c r="E66" s="741" t="e">
        <f>E65/D13</f>
        <v>#DIV/0!</v>
      </c>
      <c r="F66" s="742"/>
      <c r="H66" s="545" t="s">
        <v>216</v>
      </c>
      <c r="I66" s="538"/>
      <c r="J66" s="637" t="e">
        <f>VLOOKUP(L64,'Lookup Values'!$W$4:$AA$22,3,FALSE)</f>
        <v>#N/A</v>
      </c>
      <c r="K66" s="628"/>
      <c r="L66" s="632"/>
      <c r="N66" s="764" t="s">
        <v>357</v>
      </c>
      <c r="O66" s="765"/>
      <c r="P66" s="765"/>
      <c r="Q66" s="765"/>
      <c r="R66" s="733" t="e">
        <f>AVERAGEIF($AE$18:$AE$59,"&gt;0",$AE$18:$AE$59)</f>
        <v>#DIV/0!</v>
      </c>
      <c r="S66" s="527"/>
      <c r="AA66" s="633" t="s">
        <v>25</v>
      </c>
      <c r="AB66" s="634">
        <v>0.118288</v>
      </c>
      <c r="AC66" s="635" t="s">
        <v>27</v>
      </c>
      <c r="AD66" s="634">
        <v>0.13876330200000001</v>
      </c>
      <c r="AE66" s="636"/>
      <c r="AF66" s="527"/>
      <c r="AG66" s="527"/>
      <c r="AH66" s="527"/>
      <c r="AI66" s="527"/>
    </row>
    <row r="67" spans="2:36" x14ac:dyDescent="0.25">
      <c r="B67" s="627" t="s">
        <v>354</v>
      </c>
      <c r="C67" s="578"/>
      <c r="D67" s="594"/>
      <c r="E67" s="743" t="e">
        <f>E66*D9</f>
        <v>#DIV/0!</v>
      </c>
      <c r="F67" s="742"/>
      <c r="H67" s="545" t="s">
        <v>217</v>
      </c>
      <c r="I67" s="538"/>
      <c r="J67" s="538" t="e">
        <f>VLOOKUP(L64,'Lookup Values'!$W$4:$AA$22,4,FALSE)</f>
        <v>#N/A</v>
      </c>
      <c r="K67" s="628"/>
      <c r="L67" s="629"/>
      <c r="N67" s="764"/>
      <c r="O67" s="765"/>
      <c r="P67" s="765"/>
      <c r="Q67" s="765"/>
      <c r="R67" s="734"/>
      <c r="S67" s="527"/>
      <c r="AA67" s="633" t="s">
        <v>8</v>
      </c>
      <c r="AB67" s="634" t="e">
        <f>(AB65*Tarriff_Number)-(AB68*AB66)</f>
        <v>#DIV/0!</v>
      </c>
      <c r="AC67" s="635"/>
      <c r="AD67" s="634"/>
      <c r="AE67" s="636"/>
    </row>
    <row r="68" spans="2:36" ht="15.75" thickBot="1" x14ac:dyDescent="0.3">
      <c r="B68" s="627" t="s">
        <v>353</v>
      </c>
      <c r="C68" s="578"/>
      <c r="D68" s="594"/>
      <c r="E68" s="744" t="e">
        <f>ROUND((Y53/X53)^0.5,1)</f>
        <v>#DIV/0!</v>
      </c>
      <c r="F68" s="745"/>
      <c r="H68" s="556" t="s">
        <v>218</v>
      </c>
      <c r="I68" s="638"/>
      <c r="J68" s="638" t="e">
        <f>VLOOKUP(L64,'Lookup Values'!$W$4:$AA$22,5,FALSE)</f>
        <v>#N/A</v>
      </c>
      <c r="K68" s="639"/>
      <c r="L68" s="640"/>
      <c r="N68" s="766"/>
      <c r="O68" s="766"/>
      <c r="P68" s="766"/>
      <c r="Q68" s="766"/>
      <c r="R68" s="735"/>
      <c r="S68" s="641"/>
      <c r="AA68" s="633" t="s">
        <v>9</v>
      </c>
      <c r="AB68" s="634" t="e">
        <f>AD65*(Tarriff_Number-AD66)</f>
        <v>#DIV/0!</v>
      </c>
      <c r="AC68" s="635"/>
      <c r="AD68" s="634"/>
      <c r="AE68" s="636"/>
    </row>
    <row r="69" spans="2:36" ht="15.75" thickBot="1" x14ac:dyDescent="0.3">
      <c r="B69" s="736" t="s">
        <v>352</v>
      </c>
      <c r="C69" s="737"/>
      <c r="D69" s="737"/>
      <c r="E69" s="746" t="e">
        <f>PI()*E68^2/40000</f>
        <v>#DIV/0!</v>
      </c>
      <c r="F69" s="747"/>
      <c r="N69" s="767"/>
      <c r="O69" s="767"/>
      <c r="P69" s="767"/>
      <c r="Q69" s="767"/>
      <c r="R69" s="732"/>
      <c r="S69" s="641"/>
      <c r="AA69" s="623" t="s">
        <v>28</v>
      </c>
      <c r="AB69" s="642"/>
      <c r="AC69" s="623" t="s">
        <v>29</v>
      </c>
      <c r="AD69" s="643"/>
      <c r="AE69" s="642"/>
    </row>
    <row r="70" spans="2:36" ht="30.75" thickTop="1" x14ac:dyDescent="0.25">
      <c r="B70" s="491"/>
      <c r="N70" s="732"/>
      <c r="O70" s="732"/>
      <c r="P70" s="732"/>
      <c r="Q70" s="732"/>
      <c r="R70" s="644"/>
      <c r="S70" s="641"/>
      <c r="AA70" s="645" t="s">
        <v>459</v>
      </c>
      <c r="AB70" s="646" t="e">
        <f>AB67+(AB68*Mean_Basal_Area)</f>
        <v>#DIV/0!</v>
      </c>
      <c r="AC70" s="758" t="s">
        <v>360</v>
      </c>
      <c r="AD70" s="759"/>
      <c r="AE70" s="762" t="e">
        <f>AB71*No_Trees_In_Stratum</f>
        <v>#DIV/0!</v>
      </c>
      <c r="AF70" s="498"/>
    </row>
    <row r="71" spans="2:36" ht="15.75" thickBot="1" x14ac:dyDescent="0.3">
      <c r="B71" s="548"/>
      <c r="N71" s="641"/>
      <c r="O71" s="527"/>
      <c r="P71" s="527"/>
      <c r="Q71" s="527"/>
      <c r="R71" s="527"/>
      <c r="AA71" s="647" t="s">
        <v>458</v>
      </c>
      <c r="AB71" s="646" t="e">
        <f>AB70*VLOOKUP(ROUND(Quad_Mean_DBH,0),'Lookup Values'!AC4:AD47,2,FALSE)</f>
        <v>#DIV/0!</v>
      </c>
      <c r="AC71" s="760"/>
      <c r="AD71" s="761"/>
      <c r="AE71" s="763"/>
      <c r="AF71" s="498"/>
    </row>
    <row r="72" spans="2:36" ht="15.75" thickBot="1" x14ac:dyDescent="0.3">
      <c r="B72" s="548"/>
      <c r="AA72" s="630" t="s">
        <v>30</v>
      </c>
      <c r="AB72" s="648"/>
      <c r="AC72" s="625"/>
      <c r="AD72" s="649"/>
      <c r="AE72" s="650"/>
    </row>
    <row r="73" spans="2:36" x14ac:dyDescent="0.25">
      <c r="B73" s="548"/>
      <c r="N73" s="548"/>
      <c r="AA73" s="651" t="s">
        <v>379</v>
      </c>
      <c r="AB73" s="652" t="e">
        <f>VLOOKUP(SPecies,'Lookup Values'!O4:T90,4,FALSE)</f>
        <v>#N/A</v>
      </c>
      <c r="AC73" s="647" t="s">
        <v>361</v>
      </c>
      <c r="AD73" s="635"/>
      <c r="AE73" s="653" t="e">
        <f>AE70*VLOOKUP(AB73,'Lookup Values'!AG4:AH38,2,FALSE)</f>
        <v>#DIV/0!</v>
      </c>
      <c r="AF73" s="498"/>
    </row>
    <row r="74" spans="2:36" x14ac:dyDescent="0.25">
      <c r="B74" s="491"/>
      <c r="N74" s="548"/>
      <c r="AA74" s="654" t="s">
        <v>213</v>
      </c>
      <c r="AB74" s="655" t="e">
        <f>VLOOKUP(SPecies,'Lookup Values'!O4:T90,5,FALSE)</f>
        <v>#N/A</v>
      </c>
      <c r="AC74" s="656"/>
      <c r="AD74" s="656"/>
      <c r="AE74" s="657"/>
      <c r="AF74" s="498"/>
    </row>
    <row r="75" spans="2:36" x14ac:dyDescent="0.25">
      <c r="B75" s="527"/>
      <c r="C75" s="527"/>
      <c r="D75" s="527"/>
      <c r="AA75" s="647" t="s">
        <v>367</v>
      </c>
      <c r="AB75" s="646" t="e">
        <f>IF(Quad_Mean_DBH&lt;=50,VLOOKUP(AB74,'Lookup Values'!AJ4:AL11,2,FALSE)*(Quad_Mean_DBH^VLOOKUP(AB74,'Lookup Values'!AJ4:AL11,3,FALSE)),VLOOKUP(AB74,'Lookup Values'!AN4:AP11,2,FALSE)+(VLOOKUP(AB74,'Lookup Values'!AN4:AP11,3,FALSE)*Quad_Mean_DBH))</f>
        <v>#DIV/0!</v>
      </c>
      <c r="AC75" s="647" t="s">
        <v>365</v>
      </c>
      <c r="AD75" s="635"/>
      <c r="AE75" s="653" t="e">
        <f>AB75*No_Trees_In_Stratum</f>
        <v>#DIV/0!</v>
      </c>
      <c r="AF75" s="498"/>
      <c r="AG75" s="658"/>
      <c r="AH75" s="548"/>
      <c r="AJ75" s="548" t="s">
        <v>380</v>
      </c>
    </row>
    <row r="76" spans="2:36" x14ac:dyDescent="0.25">
      <c r="B76" s="491"/>
      <c r="AA76" s="654" t="s">
        <v>214</v>
      </c>
      <c r="AB76" s="659" t="e">
        <f>VLOOKUP(SPecies,'Lookup Values'!O4:T90,6,FALSE)</f>
        <v>#N/A</v>
      </c>
      <c r="AC76" s="656"/>
      <c r="AD76" s="656"/>
      <c r="AE76" s="657"/>
      <c r="AF76" s="498"/>
      <c r="AG76" s="658"/>
      <c r="AH76" s="548"/>
      <c r="AJ76" s="548"/>
    </row>
    <row r="77" spans="2:36" ht="15.75" thickBot="1" x14ac:dyDescent="0.3">
      <c r="B77" s="491"/>
      <c r="AA77" s="647" t="s">
        <v>368</v>
      </c>
      <c r="AB77" s="646" t="e">
        <f>IF(Quad_Mean_DBH&lt;=30,VLOOKUP(AB76,'Lookup Values'!AR4:AS9,2,FALSE)*Quad_Mean_DBH^2.5,VLOOKUP(AB76,'Lookup Values'!AU4:AW9,2,FALSE)+(VLOOKUP(AB76,'Lookup Values'!AU4:AW9,3,FALSE)*Quad_Mean_DBH))</f>
        <v>#DIV/0!</v>
      </c>
      <c r="AC77" s="647" t="s">
        <v>364</v>
      </c>
      <c r="AD77" s="635"/>
      <c r="AE77" s="653" t="e">
        <f>AB77*No_Trees_In_Stratum</f>
        <v>#DIV/0!</v>
      </c>
      <c r="AF77" s="498"/>
      <c r="AG77" s="658"/>
      <c r="AH77" s="548"/>
      <c r="AJ77" s="548" t="s">
        <v>381</v>
      </c>
    </row>
    <row r="78" spans="2:36" ht="16.5" thickTop="1" thickBot="1" x14ac:dyDescent="0.3">
      <c r="AA78" s="660"/>
      <c r="AB78" s="661"/>
      <c r="AC78" s="660" t="s">
        <v>363</v>
      </c>
      <c r="AD78" s="662"/>
      <c r="AE78" s="663" t="e">
        <f>SUM(AE73:AE77)</f>
        <v>#DIV/0!</v>
      </c>
      <c r="AF78" s="498"/>
    </row>
    <row r="79" spans="2:36" ht="15.75" thickBot="1" x14ac:dyDescent="0.3">
      <c r="AA79" s="623" t="s">
        <v>370</v>
      </c>
      <c r="AB79" s="648"/>
      <c r="AC79" s="624"/>
      <c r="AD79" s="624"/>
      <c r="AE79" s="650"/>
      <c r="AF79" s="498"/>
    </row>
    <row r="80" spans="2:36" ht="15.75" thickBot="1" x14ac:dyDescent="0.3">
      <c r="AA80" s="664" t="s">
        <v>366</v>
      </c>
      <c r="AB80" s="665" t="e">
        <f>AE78*0.5</f>
        <v>#DIV/0!</v>
      </c>
      <c r="AC80" s="664" t="s">
        <v>362</v>
      </c>
      <c r="AD80" s="666"/>
      <c r="AE80" s="667" t="e">
        <f>AE78*0.5*44/12</f>
        <v>#DIV/0!</v>
      </c>
      <c r="AF80" s="498"/>
    </row>
  </sheetData>
  <sheetProtection password="C395" sheet="1" objects="1" scenarios="1"/>
  <mergeCells count="31">
    <mergeCell ref="D2:F2"/>
    <mergeCell ref="D3:F3"/>
    <mergeCell ref="D13:F13"/>
    <mergeCell ref="D8:F8"/>
    <mergeCell ref="D9:F9"/>
    <mergeCell ref="D10:F10"/>
    <mergeCell ref="B4:C4"/>
    <mergeCell ref="D4:F4"/>
    <mergeCell ref="AC70:AD71"/>
    <mergeCell ref="AE70:AE71"/>
    <mergeCell ref="N66:Q67"/>
    <mergeCell ref="N68:Q69"/>
    <mergeCell ref="N63:R63"/>
    <mergeCell ref="N64:Q65"/>
    <mergeCell ref="R64:R65"/>
    <mergeCell ref="P2:X3"/>
    <mergeCell ref="D5:F5"/>
    <mergeCell ref="N70:Q70"/>
    <mergeCell ref="R66:R67"/>
    <mergeCell ref="R68:R69"/>
    <mergeCell ref="B69:D69"/>
    <mergeCell ref="E64:F64"/>
    <mergeCell ref="E65:F65"/>
    <mergeCell ref="E66:F66"/>
    <mergeCell ref="E67:F67"/>
    <mergeCell ref="E68:F68"/>
    <mergeCell ref="E69:F69"/>
    <mergeCell ref="D6:F6"/>
    <mergeCell ref="D7:F7"/>
    <mergeCell ref="D11:F11"/>
    <mergeCell ref="D12:F12"/>
  </mergeCells>
  <pageMargins left="0.23622047244094491" right="0.23622047244094491" top="0.74803149606299213" bottom="0.74803149606299213" header="0.31496062992125984" footer="0.31496062992125984"/>
  <pageSetup paperSize="8" scale="78" fitToWidth="2" orientation="landscape" verticalDpi="0" r:id="rId1"/>
  <colBreaks count="1" manualBreakCount="1">
    <brk id="24" max="5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0"/>
  <sheetViews>
    <sheetView zoomScale="150" zoomScaleNormal="150" workbookViewId="0">
      <selection activeCell="D2" sqref="D2:F2"/>
    </sheetView>
  </sheetViews>
  <sheetFormatPr defaultRowHeight="15" x14ac:dyDescent="0.25"/>
  <cols>
    <col min="1" max="1" width="1.42578125" customWidth="1"/>
    <col min="2" max="2" width="11.85546875" style="1" customWidth="1"/>
    <col min="3" max="4" width="11.28515625" customWidth="1"/>
    <col min="14" max="14" width="9.7109375" bestFit="1" customWidth="1"/>
    <col min="25" max="25" width="12.140625" hidden="1" customWidth="1"/>
    <col min="27" max="27" width="30.5703125" customWidth="1"/>
    <col min="28" max="28" width="20.85546875" customWidth="1"/>
    <col min="29" max="29" width="11.7109375" customWidth="1"/>
    <col min="30" max="30" width="13" customWidth="1"/>
    <col min="31" max="31" width="14.85546875" customWidth="1"/>
    <col min="32" max="32" width="10.140625" customWidth="1"/>
    <col min="33" max="33" width="8.85546875" customWidth="1"/>
  </cols>
  <sheetData>
    <row r="1" spans="1:34" ht="6" customHeight="1" thickBot="1" x14ac:dyDescent="0.3">
      <c r="A1" s="286"/>
      <c r="B1" s="318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AA1" s="287"/>
      <c r="AB1" s="287"/>
      <c r="AC1" s="287"/>
      <c r="AD1" s="287"/>
      <c r="AE1" s="287"/>
      <c r="AF1" s="287"/>
      <c r="AG1" s="288"/>
    </row>
    <row r="2" spans="1:34" ht="19.5" thickTop="1" x14ac:dyDescent="0.3">
      <c r="A2" s="289"/>
      <c r="B2" s="172" t="s">
        <v>32</v>
      </c>
      <c r="C2" s="190"/>
      <c r="D2" s="824">
        <f>'Planning - Stratification'!B4</f>
        <v>0</v>
      </c>
      <c r="E2" s="825"/>
      <c r="F2" s="826"/>
      <c r="G2" s="130"/>
      <c r="H2" s="130"/>
      <c r="I2" s="130"/>
      <c r="J2" s="290" t="s">
        <v>390</v>
      </c>
      <c r="K2" s="130"/>
      <c r="L2" s="130"/>
      <c r="M2" s="130"/>
      <c r="N2" s="130"/>
      <c r="O2" s="130"/>
      <c r="P2" s="827" t="s">
        <v>392</v>
      </c>
      <c r="Q2" s="828"/>
      <c r="R2" s="828"/>
      <c r="S2" s="828"/>
      <c r="T2" s="828"/>
      <c r="U2" s="828"/>
      <c r="V2" s="828"/>
      <c r="W2" s="829"/>
      <c r="X2" s="830"/>
      <c r="Y2" s="130"/>
      <c r="AA2" s="172" t="s">
        <v>32</v>
      </c>
      <c r="AB2" s="316">
        <f>D2</f>
        <v>0</v>
      </c>
      <c r="AC2" s="290" t="s">
        <v>478</v>
      </c>
      <c r="AD2" s="130"/>
      <c r="AE2" s="130"/>
      <c r="AF2" s="130"/>
      <c r="AG2" s="291"/>
    </row>
    <row r="3" spans="1:34" ht="28.5" customHeight="1" x14ac:dyDescent="0.3">
      <c r="A3" s="289"/>
      <c r="B3" s="174" t="s">
        <v>33</v>
      </c>
      <c r="C3" s="177"/>
      <c r="D3" s="778">
        <v>2</v>
      </c>
      <c r="E3" s="779"/>
      <c r="F3" s="780"/>
      <c r="G3" s="130"/>
      <c r="H3" s="130"/>
      <c r="I3" s="130"/>
      <c r="J3" s="313" t="s">
        <v>389</v>
      </c>
      <c r="K3" s="130"/>
      <c r="L3" s="130"/>
      <c r="M3" s="130"/>
      <c r="N3" s="130"/>
      <c r="O3" s="130"/>
      <c r="P3" s="831"/>
      <c r="Q3" s="832"/>
      <c r="R3" s="832"/>
      <c r="S3" s="832"/>
      <c r="T3" s="832"/>
      <c r="U3" s="832"/>
      <c r="V3" s="832"/>
      <c r="W3" s="832"/>
      <c r="X3" s="833"/>
      <c r="Y3" s="130"/>
      <c r="AA3" s="174" t="s">
        <v>33</v>
      </c>
      <c r="AB3" s="317">
        <f t="shared" ref="AB3:AB13" si="0">D3</f>
        <v>2</v>
      </c>
      <c r="AC3" s="313" t="s">
        <v>389</v>
      </c>
      <c r="AD3" s="130"/>
      <c r="AE3" s="130"/>
      <c r="AF3" s="130"/>
      <c r="AG3" s="291"/>
    </row>
    <row r="4" spans="1:34" x14ac:dyDescent="0.25">
      <c r="A4" s="289"/>
      <c r="B4" s="834" t="s">
        <v>462</v>
      </c>
      <c r="C4" s="835"/>
      <c r="D4" s="836" t="str">
        <f>'Planning Stratum1_Species'!B18</f>
        <v>Species</v>
      </c>
      <c r="E4" s="837"/>
      <c r="F4" s="838"/>
      <c r="G4" s="341"/>
      <c r="H4" s="312"/>
      <c r="I4" s="312"/>
      <c r="J4" s="312"/>
      <c r="K4" s="312"/>
      <c r="L4" s="130"/>
      <c r="M4" s="130"/>
      <c r="N4" s="130"/>
      <c r="O4" s="130"/>
      <c r="P4" s="274"/>
      <c r="Q4" s="275"/>
      <c r="R4" s="275"/>
      <c r="S4" s="275"/>
      <c r="T4" s="275"/>
      <c r="U4" s="275"/>
      <c r="V4" s="275"/>
      <c r="W4" s="275"/>
      <c r="X4" s="276"/>
      <c r="Y4" s="130"/>
      <c r="AA4" s="370" t="s">
        <v>382</v>
      </c>
      <c r="AB4" s="317" t="str">
        <f t="shared" si="0"/>
        <v>Species</v>
      </c>
      <c r="AC4" s="130"/>
      <c r="AD4" s="314"/>
      <c r="AE4" s="130"/>
      <c r="AF4" s="130"/>
      <c r="AG4" s="291"/>
    </row>
    <row r="5" spans="1:34" x14ac:dyDescent="0.25">
      <c r="A5" s="289"/>
      <c r="B5" s="370" t="s">
        <v>391</v>
      </c>
      <c r="C5" s="374"/>
      <c r="D5" s="704"/>
      <c r="E5" s="730"/>
      <c r="F5" s="731"/>
      <c r="G5" s="130"/>
      <c r="H5" s="130"/>
      <c r="I5" s="130"/>
      <c r="J5" s="312" t="s">
        <v>441</v>
      </c>
      <c r="K5" s="130"/>
      <c r="L5" s="130"/>
      <c r="M5" s="130"/>
      <c r="N5" s="130"/>
      <c r="O5" s="130"/>
      <c r="P5" s="274"/>
      <c r="Q5" s="275"/>
      <c r="R5" s="275"/>
      <c r="S5" s="275"/>
      <c r="T5" s="275"/>
      <c r="U5" s="275"/>
      <c r="V5" s="275"/>
      <c r="W5" s="275"/>
      <c r="X5" s="276"/>
      <c r="Y5" s="130"/>
      <c r="AA5" s="370"/>
      <c r="AB5" s="317"/>
      <c r="AC5" s="130"/>
      <c r="AD5" s="314"/>
      <c r="AE5" s="130"/>
      <c r="AF5" s="130"/>
      <c r="AG5" s="291"/>
    </row>
    <row r="6" spans="1:34" ht="18.75" x14ac:dyDescent="0.3">
      <c r="A6" s="289"/>
      <c r="B6" s="174" t="s">
        <v>373</v>
      </c>
      <c r="C6" s="177"/>
      <c r="D6" s="704"/>
      <c r="E6" s="705"/>
      <c r="F6" s="748"/>
      <c r="G6" s="130"/>
      <c r="H6" s="130"/>
      <c r="I6" s="130"/>
      <c r="J6" s="312"/>
      <c r="K6" s="130"/>
      <c r="L6" s="130"/>
      <c r="M6" s="130"/>
      <c r="N6" s="130"/>
      <c r="O6" s="130"/>
      <c r="P6" s="274"/>
      <c r="Q6" s="275"/>
      <c r="R6" s="275"/>
      <c r="S6" s="275"/>
      <c r="T6" s="275"/>
      <c r="U6" s="275"/>
      <c r="V6" s="275"/>
      <c r="W6" s="330"/>
      <c r="X6" s="331"/>
      <c r="Y6" s="130"/>
      <c r="AA6" s="174" t="s">
        <v>373</v>
      </c>
      <c r="AB6" s="317">
        <f t="shared" si="0"/>
        <v>0</v>
      </c>
      <c r="AC6" s="314"/>
      <c r="AD6" s="314"/>
      <c r="AE6" s="130"/>
      <c r="AF6" s="130"/>
      <c r="AG6" s="291"/>
    </row>
    <row r="7" spans="1:34" x14ac:dyDescent="0.25">
      <c r="A7" s="289"/>
      <c r="B7" s="174" t="s">
        <v>34</v>
      </c>
      <c r="C7" s="177"/>
      <c r="D7" s="704"/>
      <c r="E7" s="705"/>
      <c r="F7" s="748"/>
      <c r="G7" s="130"/>
      <c r="H7" s="130"/>
      <c r="I7" s="130"/>
      <c r="J7" s="130"/>
      <c r="K7" s="130"/>
      <c r="L7" s="130"/>
      <c r="M7" s="130"/>
      <c r="N7" s="130"/>
      <c r="O7" s="130"/>
      <c r="P7" s="274"/>
      <c r="Q7" s="275"/>
      <c r="R7" s="275"/>
      <c r="S7" s="275"/>
      <c r="T7" s="275"/>
      <c r="U7" s="275"/>
      <c r="V7" s="275"/>
      <c r="W7" s="275"/>
      <c r="X7" s="276"/>
      <c r="Y7" s="130"/>
      <c r="AA7" s="174" t="s">
        <v>34</v>
      </c>
      <c r="AB7" s="317">
        <f t="shared" si="0"/>
        <v>0</v>
      </c>
      <c r="AC7" s="314"/>
      <c r="AD7" s="314"/>
      <c r="AE7" s="130"/>
      <c r="AF7" s="130"/>
      <c r="AG7" s="291"/>
    </row>
    <row r="8" spans="1:34" x14ac:dyDescent="0.25">
      <c r="A8" s="289"/>
      <c r="B8" s="174" t="s">
        <v>377</v>
      </c>
      <c r="C8" s="177"/>
      <c r="D8" s="839">
        <f>'Planning - Stratification'!B8</f>
        <v>0</v>
      </c>
      <c r="E8" s="840"/>
      <c r="F8" s="841"/>
      <c r="G8" s="130"/>
      <c r="H8" s="130"/>
      <c r="I8" s="130"/>
      <c r="J8" s="130"/>
      <c r="K8" s="130"/>
      <c r="L8" s="130"/>
      <c r="M8" s="130"/>
      <c r="N8" s="130"/>
      <c r="O8" s="130"/>
      <c r="P8" s="274"/>
      <c r="Q8" s="275"/>
      <c r="R8" s="275"/>
      <c r="S8" s="275"/>
      <c r="T8" s="275"/>
      <c r="U8" s="275"/>
      <c r="V8" s="275"/>
      <c r="W8" s="275"/>
      <c r="X8" s="276"/>
      <c r="Y8" s="130"/>
      <c r="AA8" s="174" t="s">
        <v>377</v>
      </c>
      <c r="AB8" s="317">
        <f t="shared" si="0"/>
        <v>0</v>
      </c>
      <c r="AC8" s="314"/>
      <c r="AD8" s="314"/>
      <c r="AE8" s="130"/>
      <c r="AF8" s="130"/>
      <c r="AG8" s="291"/>
    </row>
    <row r="9" spans="1:34" x14ac:dyDescent="0.25">
      <c r="A9" s="289"/>
      <c r="B9" s="174" t="s">
        <v>376</v>
      </c>
      <c r="C9" s="177"/>
      <c r="D9" s="822">
        <f>'Planning - Stratification'!B6</f>
        <v>0</v>
      </c>
      <c r="E9" s="823"/>
      <c r="F9" s="817"/>
      <c r="G9" s="130"/>
      <c r="H9" s="130"/>
      <c r="I9" s="130"/>
      <c r="J9" s="130"/>
      <c r="K9" s="130"/>
      <c r="L9" s="130"/>
      <c r="M9" s="130"/>
      <c r="N9" s="130"/>
      <c r="O9" s="130"/>
      <c r="P9" s="274"/>
      <c r="Q9" s="275"/>
      <c r="R9" s="275"/>
      <c r="S9" s="275"/>
      <c r="T9" s="275"/>
      <c r="U9" s="275"/>
      <c r="V9" s="275"/>
      <c r="W9" s="275"/>
      <c r="X9" s="276"/>
      <c r="Y9" s="130"/>
      <c r="AA9" s="174" t="s">
        <v>376</v>
      </c>
      <c r="AB9" s="317">
        <f t="shared" si="0"/>
        <v>0</v>
      </c>
      <c r="AC9" s="315"/>
      <c r="AD9" s="315"/>
      <c r="AE9" s="130"/>
      <c r="AF9" s="130"/>
      <c r="AG9" s="291"/>
    </row>
    <row r="10" spans="1:34" x14ac:dyDescent="0.25">
      <c r="A10" s="289"/>
      <c r="B10" s="174" t="s">
        <v>351</v>
      </c>
      <c r="C10" s="177"/>
      <c r="D10" s="822">
        <f>'Planning - Stratification'!B11</f>
        <v>0</v>
      </c>
      <c r="E10" s="823"/>
      <c r="F10" s="817"/>
      <c r="G10" s="292"/>
      <c r="H10" s="130"/>
      <c r="I10" s="130"/>
      <c r="J10" s="130"/>
      <c r="K10" s="130"/>
      <c r="L10" s="130"/>
      <c r="M10" s="130"/>
      <c r="N10" s="130"/>
      <c r="O10" s="130"/>
      <c r="P10" s="274"/>
      <c r="Q10" s="275"/>
      <c r="R10" s="275"/>
      <c r="S10" s="275"/>
      <c r="T10" s="275"/>
      <c r="U10" s="275"/>
      <c r="V10" s="275"/>
      <c r="W10" s="275"/>
      <c r="X10" s="276"/>
      <c r="Y10" s="4"/>
      <c r="AA10" s="174" t="s">
        <v>351</v>
      </c>
      <c r="AB10" s="317">
        <f t="shared" si="0"/>
        <v>0</v>
      </c>
      <c r="AC10" s="315"/>
      <c r="AD10" s="315"/>
      <c r="AE10" s="130"/>
      <c r="AF10" s="130"/>
      <c r="AG10" s="291"/>
    </row>
    <row r="11" spans="1:34" x14ac:dyDescent="0.25">
      <c r="A11" s="289"/>
      <c r="B11" s="174" t="s">
        <v>5</v>
      </c>
      <c r="C11" s="177"/>
      <c r="D11" s="822">
        <f>'Planning - Stratification'!B12</f>
        <v>0</v>
      </c>
      <c r="E11" s="823"/>
      <c r="F11" s="817"/>
      <c r="G11" s="130"/>
      <c r="H11" s="130"/>
      <c r="I11" s="130"/>
      <c r="J11" s="130"/>
      <c r="K11" s="130"/>
      <c r="L11" s="130"/>
      <c r="M11" s="130"/>
      <c r="N11" s="130"/>
      <c r="O11" s="130"/>
      <c r="P11" s="274"/>
      <c r="Q11" s="333"/>
      <c r="R11" s="333"/>
      <c r="S11" s="333"/>
      <c r="T11" s="333"/>
      <c r="U11" s="333"/>
      <c r="V11" s="333"/>
      <c r="W11" s="275"/>
      <c r="X11" s="276"/>
      <c r="Y11" s="4"/>
      <c r="AA11" s="174" t="s">
        <v>5</v>
      </c>
      <c r="AB11" s="317">
        <f t="shared" si="0"/>
        <v>0</v>
      </c>
      <c r="AC11" s="315"/>
      <c r="AD11" s="315"/>
      <c r="AE11" s="130"/>
      <c r="AF11" s="130"/>
      <c r="AG11" s="291"/>
    </row>
    <row r="12" spans="1:34" x14ac:dyDescent="0.25">
      <c r="A12" s="289"/>
      <c r="B12" s="174" t="s">
        <v>463</v>
      </c>
      <c r="C12" s="177"/>
      <c r="D12" s="807">
        <f>D10^2*PI()/10000</f>
        <v>0</v>
      </c>
      <c r="E12" s="808"/>
      <c r="F12" s="809"/>
      <c r="G12" s="130"/>
      <c r="H12" s="130"/>
      <c r="I12" s="130"/>
      <c r="J12" s="130"/>
      <c r="K12" s="130"/>
      <c r="L12" s="130"/>
      <c r="M12" s="130"/>
      <c r="N12" s="130"/>
      <c r="O12" s="130"/>
      <c r="P12" s="274"/>
      <c r="Q12" s="275"/>
      <c r="R12" s="275"/>
      <c r="S12" s="275"/>
      <c r="T12" s="275"/>
      <c r="U12" s="275"/>
      <c r="V12" s="275"/>
      <c r="W12" s="275"/>
      <c r="X12" s="276"/>
      <c r="Y12" s="4"/>
      <c r="AA12" s="174" t="s">
        <v>463</v>
      </c>
      <c r="AB12" s="375">
        <f t="shared" si="0"/>
        <v>0</v>
      </c>
      <c r="AC12" s="315"/>
      <c r="AD12" s="315"/>
      <c r="AE12" s="130"/>
      <c r="AF12" s="130"/>
      <c r="AG12" s="291"/>
    </row>
    <row r="13" spans="1:34" ht="15.75" thickBot="1" x14ac:dyDescent="0.3">
      <c r="A13" s="289"/>
      <c r="B13" s="175" t="s">
        <v>464</v>
      </c>
      <c r="C13" s="191"/>
      <c r="D13" s="810">
        <f>D11*D12</f>
        <v>0</v>
      </c>
      <c r="E13" s="811"/>
      <c r="F13" s="812"/>
      <c r="G13" s="130"/>
      <c r="H13" s="130"/>
      <c r="I13" s="130"/>
      <c r="J13" s="130"/>
      <c r="K13" s="130"/>
      <c r="L13" s="130"/>
      <c r="M13" s="130"/>
      <c r="N13" s="130"/>
      <c r="O13" s="130"/>
      <c r="P13" s="277"/>
      <c r="Q13" s="278"/>
      <c r="R13" s="278"/>
      <c r="S13" s="278"/>
      <c r="T13" s="278"/>
      <c r="U13" s="278"/>
      <c r="V13" s="278"/>
      <c r="W13" s="278"/>
      <c r="X13" s="279"/>
      <c r="Y13" s="4"/>
      <c r="AA13" s="175" t="s">
        <v>464</v>
      </c>
      <c r="AB13" s="376">
        <f t="shared" si="0"/>
        <v>0</v>
      </c>
      <c r="AC13" s="315"/>
      <c r="AD13" s="315"/>
      <c r="AE13" s="130"/>
      <c r="AF13" s="130"/>
      <c r="AG13" s="291"/>
    </row>
    <row r="14" spans="1:34" x14ac:dyDescent="0.25">
      <c r="A14" s="289"/>
      <c r="B14" s="3"/>
      <c r="C14" s="3"/>
      <c r="D14" s="319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280"/>
      <c r="Q14" s="130"/>
      <c r="R14" s="130"/>
      <c r="S14" s="130"/>
      <c r="T14" s="265"/>
      <c r="U14" s="130"/>
      <c r="V14" s="4"/>
      <c r="W14" s="4"/>
      <c r="X14" s="4"/>
      <c r="Y14" s="4"/>
      <c r="AA14" s="130"/>
      <c r="AB14" s="130"/>
      <c r="AC14" s="130"/>
      <c r="AD14" s="130"/>
      <c r="AE14" s="130"/>
      <c r="AF14" s="130"/>
      <c r="AG14" s="291"/>
    </row>
    <row r="15" spans="1:34" x14ac:dyDescent="0.25">
      <c r="A15" s="289"/>
      <c r="B15" s="3"/>
      <c r="C15" s="3"/>
      <c r="D15" s="319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265"/>
      <c r="U15" s="130"/>
      <c r="V15" s="4"/>
      <c r="W15" s="4"/>
      <c r="X15" s="4"/>
      <c r="Y15" s="4"/>
      <c r="AA15" s="130"/>
      <c r="AB15" s="130"/>
      <c r="AC15" s="130"/>
      <c r="AD15" s="130"/>
      <c r="AE15" s="130"/>
      <c r="AF15" s="130"/>
      <c r="AG15" s="291"/>
    </row>
    <row r="16" spans="1:34" x14ac:dyDescent="0.25">
      <c r="A16" s="289"/>
      <c r="B16" s="293" t="s">
        <v>378</v>
      </c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AA16" s="292"/>
      <c r="AB16" s="130"/>
      <c r="AC16" s="130"/>
      <c r="AD16" s="130"/>
      <c r="AE16" s="130"/>
      <c r="AF16" s="130"/>
      <c r="AG16" s="291"/>
      <c r="AH16" s="1"/>
    </row>
    <row r="17" spans="1:35" ht="75" x14ac:dyDescent="0.25">
      <c r="A17" s="289"/>
      <c r="B17" s="185"/>
      <c r="C17" s="188"/>
      <c r="D17" s="177"/>
      <c r="E17" s="177"/>
      <c r="F17" s="177"/>
      <c r="G17" s="177"/>
      <c r="H17" s="178" t="s">
        <v>1</v>
      </c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89"/>
      <c r="X17" s="189"/>
      <c r="Y17" s="130"/>
      <c r="AA17" s="230" t="s">
        <v>79</v>
      </c>
      <c r="AB17" s="231" t="s">
        <v>1</v>
      </c>
      <c r="AC17" s="231" t="s">
        <v>3</v>
      </c>
      <c r="AD17" s="231" t="s">
        <v>4</v>
      </c>
      <c r="AE17" s="232" t="s">
        <v>76</v>
      </c>
      <c r="AF17" s="233" t="s">
        <v>77</v>
      </c>
      <c r="AG17" s="320"/>
    </row>
    <row r="18" spans="1:35" s="1" customFormat="1" x14ac:dyDescent="0.25">
      <c r="A18" s="321"/>
      <c r="B18" s="151" t="s">
        <v>4</v>
      </c>
      <c r="C18" s="151">
        <v>1</v>
      </c>
      <c r="D18" s="151">
        <v>2</v>
      </c>
      <c r="E18" s="151">
        <v>3</v>
      </c>
      <c r="F18" s="151">
        <v>4</v>
      </c>
      <c r="G18" s="151">
        <v>5</v>
      </c>
      <c r="H18" s="151">
        <v>6</v>
      </c>
      <c r="I18" s="151">
        <v>7</v>
      </c>
      <c r="J18" s="151">
        <v>8</v>
      </c>
      <c r="K18" s="151">
        <v>9</v>
      </c>
      <c r="L18" s="151">
        <v>10</v>
      </c>
      <c r="M18" s="151">
        <v>11</v>
      </c>
      <c r="N18" s="151">
        <v>12</v>
      </c>
      <c r="O18" s="151">
        <v>13</v>
      </c>
      <c r="P18" s="151">
        <v>14</v>
      </c>
      <c r="Q18" s="151">
        <v>15</v>
      </c>
      <c r="R18" s="151">
        <v>16</v>
      </c>
      <c r="S18" s="151">
        <v>17</v>
      </c>
      <c r="T18" s="151">
        <v>18</v>
      </c>
      <c r="U18" s="151">
        <v>19</v>
      </c>
      <c r="V18" s="151">
        <v>20</v>
      </c>
      <c r="W18" s="151">
        <v>21</v>
      </c>
      <c r="X18" s="151" t="s">
        <v>0</v>
      </c>
      <c r="Y18" s="312" t="s">
        <v>7</v>
      </c>
      <c r="AA18" s="152">
        <v>1</v>
      </c>
      <c r="AB18" s="152">
        <v>1</v>
      </c>
      <c r="AC18" s="150"/>
      <c r="AD18" s="150"/>
      <c r="AE18" s="229"/>
      <c r="AF18" s="228">
        <f t="shared" ref="AF18:AF59" si="1">ROUND(IF(AE18&gt;0,$J$65+$J$66*AE18+$J$67*AD18+$J$68*AD18*AE18,0),0)</f>
        <v>0</v>
      </c>
      <c r="AG18" s="322"/>
      <c r="AI18"/>
    </row>
    <row r="19" spans="1:35" x14ac:dyDescent="0.25">
      <c r="A19" s="289"/>
      <c r="B19" s="151">
        <v>7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3">
        <f>SUM(C19:W19)</f>
        <v>0</v>
      </c>
      <c r="Y19" s="312">
        <f t="shared" ref="Y19:Y52" si="2">X19*B19^2</f>
        <v>0</v>
      </c>
      <c r="AA19" s="152">
        <v>2</v>
      </c>
      <c r="AB19" s="152">
        <v>1</v>
      </c>
      <c r="AC19" s="150"/>
      <c r="AD19" s="150"/>
      <c r="AE19" s="229"/>
      <c r="AF19" s="228">
        <f t="shared" si="1"/>
        <v>0</v>
      </c>
      <c r="AG19" s="323"/>
    </row>
    <row r="20" spans="1:35" x14ac:dyDescent="0.25">
      <c r="A20" s="289"/>
      <c r="B20" s="151">
        <v>8</v>
      </c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3">
        <f t="shared" ref="X20:X52" si="3">SUM(C20:W20)</f>
        <v>0</v>
      </c>
      <c r="Y20" s="312">
        <f t="shared" si="2"/>
        <v>0</v>
      </c>
      <c r="AA20" s="152">
        <v>3</v>
      </c>
      <c r="AB20" s="152">
        <v>2</v>
      </c>
      <c r="AC20" s="150"/>
      <c r="AD20" s="150"/>
      <c r="AE20" s="229"/>
      <c r="AF20" s="228">
        <f t="shared" si="1"/>
        <v>0</v>
      </c>
      <c r="AG20" s="324"/>
    </row>
    <row r="21" spans="1:35" x14ac:dyDescent="0.25">
      <c r="A21" s="289"/>
      <c r="B21" s="151">
        <v>9</v>
      </c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3">
        <f t="shared" si="3"/>
        <v>0</v>
      </c>
      <c r="Y21" s="312">
        <f t="shared" si="2"/>
        <v>0</v>
      </c>
      <c r="AA21" s="152">
        <v>4</v>
      </c>
      <c r="AB21" s="152">
        <v>2</v>
      </c>
      <c r="AC21" s="150"/>
      <c r="AD21" s="150"/>
      <c r="AE21" s="229"/>
      <c r="AF21" s="228">
        <f t="shared" si="1"/>
        <v>0</v>
      </c>
      <c r="AG21" s="324"/>
    </row>
    <row r="22" spans="1:35" x14ac:dyDescent="0.25">
      <c r="A22" s="289"/>
      <c r="B22" s="151">
        <v>10</v>
      </c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3">
        <f t="shared" si="3"/>
        <v>0</v>
      </c>
      <c r="Y22" s="312">
        <f t="shared" si="2"/>
        <v>0</v>
      </c>
      <c r="AA22" s="152">
        <v>5</v>
      </c>
      <c r="AB22" s="152">
        <v>3</v>
      </c>
      <c r="AC22" s="150"/>
      <c r="AD22" s="150"/>
      <c r="AE22" s="229"/>
      <c r="AF22" s="228">
        <f t="shared" si="1"/>
        <v>0</v>
      </c>
      <c r="AG22" s="324"/>
    </row>
    <row r="23" spans="1:35" x14ac:dyDescent="0.25">
      <c r="A23" s="289"/>
      <c r="B23" s="151">
        <v>11</v>
      </c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3">
        <f t="shared" si="3"/>
        <v>0</v>
      </c>
      <c r="Y23" s="312">
        <f t="shared" si="2"/>
        <v>0</v>
      </c>
      <c r="AA23" s="152">
        <v>6</v>
      </c>
      <c r="AB23" s="152">
        <v>3</v>
      </c>
      <c r="AC23" s="150"/>
      <c r="AD23" s="150"/>
      <c r="AE23" s="229"/>
      <c r="AF23" s="228">
        <f t="shared" si="1"/>
        <v>0</v>
      </c>
      <c r="AG23" s="324"/>
    </row>
    <row r="24" spans="1:35" x14ac:dyDescent="0.25">
      <c r="A24" s="289"/>
      <c r="B24" s="151">
        <v>12</v>
      </c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3">
        <f t="shared" si="3"/>
        <v>0</v>
      </c>
      <c r="Y24" s="312">
        <f t="shared" si="2"/>
        <v>0</v>
      </c>
      <c r="AA24" s="152">
        <v>7</v>
      </c>
      <c r="AB24" s="152">
        <v>4</v>
      </c>
      <c r="AC24" s="150"/>
      <c r="AD24" s="150"/>
      <c r="AE24" s="229"/>
      <c r="AF24" s="228">
        <f t="shared" si="1"/>
        <v>0</v>
      </c>
      <c r="AG24" s="324"/>
    </row>
    <row r="25" spans="1:35" x14ac:dyDescent="0.25">
      <c r="A25" s="289"/>
      <c r="B25" s="151">
        <v>13</v>
      </c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3">
        <f t="shared" si="3"/>
        <v>0</v>
      </c>
      <c r="Y25" s="312">
        <f t="shared" si="2"/>
        <v>0</v>
      </c>
      <c r="AA25" s="152">
        <v>8</v>
      </c>
      <c r="AB25" s="152">
        <v>4</v>
      </c>
      <c r="AC25" s="150"/>
      <c r="AD25" s="150"/>
      <c r="AE25" s="229"/>
      <c r="AF25" s="228">
        <f t="shared" si="1"/>
        <v>0</v>
      </c>
      <c r="AG25" s="324"/>
    </row>
    <row r="26" spans="1:35" x14ac:dyDescent="0.25">
      <c r="A26" s="289"/>
      <c r="B26" s="151">
        <v>14</v>
      </c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3">
        <f t="shared" si="3"/>
        <v>0</v>
      </c>
      <c r="Y26" s="312">
        <f t="shared" si="2"/>
        <v>0</v>
      </c>
      <c r="AA26" s="152">
        <v>9</v>
      </c>
      <c r="AB26" s="152">
        <v>5</v>
      </c>
      <c r="AC26" s="150"/>
      <c r="AD26" s="150"/>
      <c r="AE26" s="229"/>
      <c r="AF26" s="228">
        <f t="shared" si="1"/>
        <v>0</v>
      </c>
      <c r="AG26" s="324"/>
    </row>
    <row r="27" spans="1:35" x14ac:dyDescent="0.25">
      <c r="A27" s="289"/>
      <c r="B27" s="151">
        <v>15</v>
      </c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3">
        <f t="shared" si="3"/>
        <v>0</v>
      </c>
      <c r="Y27" s="312">
        <f t="shared" si="2"/>
        <v>0</v>
      </c>
      <c r="AA27" s="152">
        <v>10</v>
      </c>
      <c r="AB27" s="152">
        <v>5</v>
      </c>
      <c r="AC27" s="150"/>
      <c r="AD27" s="150"/>
      <c r="AE27" s="229"/>
      <c r="AF27" s="228">
        <f t="shared" si="1"/>
        <v>0</v>
      </c>
      <c r="AG27" s="324"/>
    </row>
    <row r="28" spans="1:35" x14ac:dyDescent="0.25">
      <c r="A28" s="289"/>
      <c r="B28" s="151">
        <v>16</v>
      </c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3">
        <f t="shared" si="3"/>
        <v>0</v>
      </c>
      <c r="Y28" s="312">
        <f t="shared" si="2"/>
        <v>0</v>
      </c>
      <c r="AA28" s="152">
        <v>11</v>
      </c>
      <c r="AB28" s="152">
        <v>6</v>
      </c>
      <c r="AC28" s="150"/>
      <c r="AD28" s="150"/>
      <c r="AE28" s="229"/>
      <c r="AF28" s="228">
        <f t="shared" si="1"/>
        <v>0</v>
      </c>
      <c r="AG28" s="324"/>
    </row>
    <row r="29" spans="1:35" x14ac:dyDescent="0.25">
      <c r="A29" s="289"/>
      <c r="B29" s="151">
        <v>17</v>
      </c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3">
        <f t="shared" si="3"/>
        <v>0</v>
      </c>
      <c r="Y29" s="312">
        <f t="shared" si="2"/>
        <v>0</v>
      </c>
      <c r="AA29" s="152">
        <v>12</v>
      </c>
      <c r="AB29" s="152">
        <v>6</v>
      </c>
      <c r="AC29" s="150"/>
      <c r="AD29" s="150"/>
      <c r="AE29" s="229"/>
      <c r="AF29" s="228">
        <f t="shared" si="1"/>
        <v>0</v>
      </c>
      <c r="AG29" s="324"/>
    </row>
    <row r="30" spans="1:35" x14ac:dyDescent="0.25">
      <c r="A30" s="289"/>
      <c r="B30" s="151">
        <v>18</v>
      </c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3">
        <f t="shared" si="3"/>
        <v>0</v>
      </c>
      <c r="Y30" s="312">
        <f t="shared" si="2"/>
        <v>0</v>
      </c>
      <c r="AA30" s="152">
        <v>13</v>
      </c>
      <c r="AB30" s="152">
        <v>7</v>
      </c>
      <c r="AC30" s="150"/>
      <c r="AD30" s="150"/>
      <c r="AE30" s="229"/>
      <c r="AF30" s="228">
        <f t="shared" si="1"/>
        <v>0</v>
      </c>
      <c r="AG30" s="324"/>
    </row>
    <row r="31" spans="1:35" x14ac:dyDescent="0.25">
      <c r="A31" s="289"/>
      <c r="B31" s="151">
        <v>19</v>
      </c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3">
        <f t="shared" si="3"/>
        <v>0</v>
      </c>
      <c r="Y31" s="312">
        <f t="shared" si="2"/>
        <v>0</v>
      </c>
      <c r="AA31" s="152">
        <v>14</v>
      </c>
      <c r="AB31" s="152">
        <v>7</v>
      </c>
      <c r="AC31" s="150"/>
      <c r="AD31" s="150"/>
      <c r="AE31" s="229"/>
      <c r="AF31" s="228">
        <f t="shared" si="1"/>
        <v>0</v>
      </c>
      <c r="AG31" s="323"/>
    </row>
    <row r="32" spans="1:35" x14ac:dyDescent="0.25">
      <c r="A32" s="289"/>
      <c r="B32" s="151">
        <v>20</v>
      </c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3">
        <f t="shared" si="3"/>
        <v>0</v>
      </c>
      <c r="Y32" s="312">
        <f t="shared" si="2"/>
        <v>0</v>
      </c>
      <c r="AA32" s="152">
        <v>15</v>
      </c>
      <c r="AB32" s="152">
        <v>8</v>
      </c>
      <c r="AC32" s="150"/>
      <c r="AD32" s="150"/>
      <c r="AE32" s="229"/>
      <c r="AF32" s="228">
        <f t="shared" si="1"/>
        <v>0</v>
      </c>
      <c r="AG32" s="324"/>
    </row>
    <row r="33" spans="1:33" x14ac:dyDescent="0.25">
      <c r="A33" s="289"/>
      <c r="B33" s="151">
        <v>21</v>
      </c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3">
        <f t="shared" si="3"/>
        <v>0</v>
      </c>
      <c r="Y33" s="312">
        <f t="shared" si="2"/>
        <v>0</v>
      </c>
      <c r="AA33" s="152">
        <v>16</v>
      </c>
      <c r="AB33" s="152">
        <v>8</v>
      </c>
      <c r="AC33" s="150"/>
      <c r="AD33" s="150"/>
      <c r="AE33" s="229"/>
      <c r="AF33" s="228">
        <f t="shared" si="1"/>
        <v>0</v>
      </c>
      <c r="AG33" s="324"/>
    </row>
    <row r="34" spans="1:33" x14ac:dyDescent="0.25">
      <c r="A34" s="289"/>
      <c r="B34" s="151">
        <v>22</v>
      </c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3">
        <f t="shared" si="3"/>
        <v>0</v>
      </c>
      <c r="Y34" s="312">
        <f t="shared" si="2"/>
        <v>0</v>
      </c>
      <c r="AA34" s="152">
        <v>17</v>
      </c>
      <c r="AB34" s="152">
        <v>9</v>
      </c>
      <c r="AC34" s="150"/>
      <c r="AD34" s="150"/>
      <c r="AE34" s="229"/>
      <c r="AF34" s="228">
        <f t="shared" si="1"/>
        <v>0</v>
      </c>
      <c r="AG34" s="324"/>
    </row>
    <row r="35" spans="1:33" x14ac:dyDescent="0.25">
      <c r="A35" s="289"/>
      <c r="B35" s="151">
        <v>23</v>
      </c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3">
        <f t="shared" si="3"/>
        <v>0</v>
      </c>
      <c r="Y35" s="312">
        <f t="shared" si="2"/>
        <v>0</v>
      </c>
      <c r="AA35" s="152">
        <v>18</v>
      </c>
      <c r="AB35" s="152">
        <v>9</v>
      </c>
      <c r="AC35" s="150"/>
      <c r="AD35" s="150"/>
      <c r="AE35" s="229"/>
      <c r="AF35" s="228">
        <f t="shared" si="1"/>
        <v>0</v>
      </c>
      <c r="AG35" s="324"/>
    </row>
    <row r="36" spans="1:33" x14ac:dyDescent="0.25">
      <c r="A36" s="289"/>
      <c r="B36" s="151">
        <v>24</v>
      </c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3">
        <f t="shared" si="3"/>
        <v>0</v>
      </c>
      <c r="Y36" s="312">
        <f t="shared" si="2"/>
        <v>0</v>
      </c>
      <c r="AA36" s="152">
        <v>19</v>
      </c>
      <c r="AB36" s="152">
        <v>10</v>
      </c>
      <c r="AC36" s="150"/>
      <c r="AD36" s="150"/>
      <c r="AE36" s="229"/>
      <c r="AF36" s="228">
        <f t="shared" si="1"/>
        <v>0</v>
      </c>
      <c r="AG36" s="324"/>
    </row>
    <row r="37" spans="1:33" x14ac:dyDescent="0.25">
      <c r="A37" s="289"/>
      <c r="B37" s="151">
        <v>25</v>
      </c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3">
        <f t="shared" si="3"/>
        <v>0</v>
      </c>
      <c r="Y37" s="312">
        <f t="shared" si="2"/>
        <v>0</v>
      </c>
      <c r="AA37" s="152">
        <v>20</v>
      </c>
      <c r="AB37" s="152">
        <v>10</v>
      </c>
      <c r="AC37" s="150"/>
      <c r="AD37" s="150"/>
      <c r="AE37" s="229"/>
      <c r="AF37" s="228">
        <f t="shared" si="1"/>
        <v>0</v>
      </c>
      <c r="AG37" s="324"/>
    </row>
    <row r="38" spans="1:33" x14ac:dyDescent="0.25">
      <c r="A38" s="289"/>
      <c r="B38" s="151">
        <v>26</v>
      </c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3">
        <f t="shared" si="3"/>
        <v>0</v>
      </c>
      <c r="Y38" s="312">
        <f t="shared" si="2"/>
        <v>0</v>
      </c>
      <c r="AA38" s="152">
        <v>21</v>
      </c>
      <c r="AB38" s="152">
        <v>11</v>
      </c>
      <c r="AC38" s="150"/>
      <c r="AD38" s="150"/>
      <c r="AE38" s="229"/>
      <c r="AF38" s="228">
        <f t="shared" si="1"/>
        <v>0</v>
      </c>
      <c r="AG38" s="324"/>
    </row>
    <row r="39" spans="1:33" x14ac:dyDescent="0.25">
      <c r="A39" s="289"/>
      <c r="B39" s="151">
        <v>27</v>
      </c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3">
        <f t="shared" si="3"/>
        <v>0</v>
      </c>
      <c r="Y39" s="312">
        <f t="shared" si="2"/>
        <v>0</v>
      </c>
      <c r="AA39" s="152">
        <v>22</v>
      </c>
      <c r="AB39" s="152">
        <v>11</v>
      </c>
      <c r="AC39" s="150"/>
      <c r="AD39" s="150"/>
      <c r="AE39" s="229"/>
      <c r="AF39" s="228">
        <f t="shared" si="1"/>
        <v>0</v>
      </c>
      <c r="AG39" s="324"/>
    </row>
    <row r="40" spans="1:33" x14ac:dyDescent="0.25">
      <c r="A40" s="289"/>
      <c r="B40" s="151">
        <v>28</v>
      </c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3">
        <f t="shared" si="3"/>
        <v>0</v>
      </c>
      <c r="Y40" s="312">
        <f t="shared" si="2"/>
        <v>0</v>
      </c>
      <c r="AA40" s="152">
        <v>23</v>
      </c>
      <c r="AB40" s="152">
        <v>12</v>
      </c>
      <c r="AC40" s="150"/>
      <c r="AD40" s="150"/>
      <c r="AE40" s="229"/>
      <c r="AF40" s="228">
        <f t="shared" si="1"/>
        <v>0</v>
      </c>
      <c r="AG40" s="324"/>
    </row>
    <row r="41" spans="1:33" x14ac:dyDescent="0.25">
      <c r="A41" s="289"/>
      <c r="B41" s="151">
        <v>29</v>
      </c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3">
        <f t="shared" si="3"/>
        <v>0</v>
      </c>
      <c r="Y41" s="312">
        <f t="shared" si="2"/>
        <v>0</v>
      </c>
      <c r="AA41" s="152">
        <v>24</v>
      </c>
      <c r="AB41" s="152">
        <v>12</v>
      </c>
      <c r="AC41" s="150"/>
      <c r="AD41" s="150"/>
      <c r="AE41" s="229"/>
      <c r="AF41" s="228">
        <f t="shared" si="1"/>
        <v>0</v>
      </c>
      <c r="AG41" s="291"/>
    </row>
    <row r="42" spans="1:33" x14ac:dyDescent="0.25">
      <c r="A42" s="289"/>
      <c r="B42" s="151">
        <v>30</v>
      </c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3">
        <f t="shared" si="3"/>
        <v>0</v>
      </c>
      <c r="Y42" s="312">
        <f t="shared" si="2"/>
        <v>0</v>
      </c>
      <c r="AA42" s="152">
        <v>25</v>
      </c>
      <c r="AB42" s="152">
        <v>13</v>
      </c>
      <c r="AC42" s="150"/>
      <c r="AD42" s="150"/>
      <c r="AE42" s="229"/>
      <c r="AF42" s="228">
        <f t="shared" si="1"/>
        <v>0</v>
      </c>
      <c r="AG42" s="291"/>
    </row>
    <row r="43" spans="1:33" x14ac:dyDescent="0.25">
      <c r="A43" s="289"/>
      <c r="B43" s="151">
        <v>31</v>
      </c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3">
        <f t="shared" si="3"/>
        <v>0</v>
      </c>
      <c r="Y43" s="312">
        <f t="shared" si="2"/>
        <v>0</v>
      </c>
      <c r="AA43" s="152">
        <v>26</v>
      </c>
      <c r="AB43" s="152">
        <v>13</v>
      </c>
      <c r="AC43" s="150"/>
      <c r="AD43" s="150"/>
      <c r="AE43" s="229"/>
      <c r="AF43" s="228">
        <f t="shared" si="1"/>
        <v>0</v>
      </c>
      <c r="AG43" s="291"/>
    </row>
    <row r="44" spans="1:33" x14ac:dyDescent="0.25">
      <c r="A44" s="289"/>
      <c r="B44" s="151">
        <v>32</v>
      </c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0"/>
      <c r="X44" s="153">
        <f t="shared" si="3"/>
        <v>0</v>
      </c>
      <c r="Y44" s="312">
        <f t="shared" si="2"/>
        <v>0</v>
      </c>
      <c r="AA44" s="152">
        <v>27</v>
      </c>
      <c r="AB44" s="152">
        <v>14</v>
      </c>
      <c r="AC44" s="150"/>
      <c r="AD44" s="150"/>
      <c r="AE44" s="229"/>
      <c r="AF44" s="228">
        <f t="shared" si="1"/>
        <v>0</v>
      </c>
      <c r="AG44" s="291"/>
    </row>
    <row r="45" spans="1:33" x14ac:dyDescent="0.25">
      <c r="A45" s="289"/>
      <c r="B45" s="151">
        <v>33</v>
      </c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X45" s="153">
        <f t="shared" si="3"/>
        <v>0</v>
      </c>
      <c r="Y45" s="312">
        <f t="shared" si="2"/>
        <v>0</v>
      </c>
      <c r="AA45" s="152">
        <v>28</v>
      </c>
      <c r="AB45" s="152">
        <v>14</v>
      </c>
      <c r="AC45" s="150"/>
      <c r="AD45" s="150"/>
      <c r="AE45" s="229"/>
      <c r="AF45" s="228">
        <f t="shared" si="1"/>
        <v>0</v>
      </c>
      <c r="AG45" s="291"/>
    </row>
    <row r="46" spans="1:33" x14ac:dyDescent="0.25">
      <c r="A46" s="289"/>
      <c r="B46" s="151">
        <v>34</v>
      </c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153">
        <f t="shared" si="3"/>
        <v>0</v>
      </c>
      <c r="Y46" s="312">
        <f t="shared" si="2"/>
        <v>0</v>
      </c>
      <c r="AA46" s="152">
        <v>29</v>
      </c>
      <c r="AB46" s="152">
        <v>15</v>
      </c>
      <c r="AC46" s="150"/>
      <c r="AD46" s="150"/>
      <c r="AE46" s="229"/>
      <c r="AF46" s="228">
        <f t="shared" si="1"/>
        <v>0</v>
      </c>
      <c r="AG46" s="291"/>
    </row>
    <row r="47" spans="1:33" x14ac:dyDescent="0.25">
      <c r="A47" s="289"/>
      <c r="B47" s="151">
        <v>35</v>
      </c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150"/>
      <c r="X47" s="153">
        <f t="shared" si="3"/>
        <v>0</v>
      </c>
      <c r="Y47" s="312">
        <f t="shared" si="2"/>
        <v>0</v>
      </c>
      <c r="AA47" s="152">
        <v>30</v>
      </c>
      <c r="AB47" s="152">
        <v>15</v>
      </c>
      <c r="AC47" s="150"/>
      <c r="AD47" s="150"/>
      <c r="AE47" s="229"/>
      <c r="AF47" s="228">
        <f t="shared" si="1"/>
        <v>0</v>
      </c>
      <c r="AG47" s="291"/>
    </row>
    <row r="48" spans="1:33" x14ac:dyDescent="0.25">
      <c r="A48" s="289"/>
      <c r="B48" s="151">
        <v>36</v>
      </c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0"/>
      <c r="W48" s="150"/>
      <c r="X48" s="153">
        <f t="shared" si="3"/>
        <v>0</v>
      </c>
      <c r="Y48" s="312">
        <f t="shared" si="2"/>
        <v>0</v>
      </c>
      <c r="AA48" s="152">
        <v>31</v>
      </c>
      <c r="AB48" s="152">
        <v>16</v>
      </c>
      <c r="AC48" s="150"/>
      <c r="AD48" s="150"/>
      <c r="AE48" s="229"/>
      <c r="AF48" s="228">
        <f t="shared" si="1"/>
        <v>0</v>
      </c>
      <c r="AG48" s="291"/>
    </row>
    <row r="49" spans="1:33" x14ac:dyDescent="0.25">
      <c r="A49" s="289"/>
      <c r="B49" s="151">
        <v>37</v>
      </c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3">
        <f t="shared" si="3"/>
        <v>0</v>
      </c>
      <c r="Y49" s="312">
        <f t="shared" si="2"/>
        <v>0</v>
      </c>
      <c r="AA49" s="152">
        <v>32</v>
      </c>
      <c r="AB49" s="152">
        <v>16</v>
      </c>
      <c r="AC49" s="150"/>
      <c r="AD49" s="150"/>
      <c r="AE49" s="229"/>
      <c r="AF49" s="228">
        <f t="shared" si="1"/>
        <v>0</v>
      </c>
      <c r="AG49" s="291"/>
    </row>
    <row r="50" spans="1:33" x14ac:dyDescent="0.25">
      <c r="A50" s="289"/>
      <c r="B50" s="151">
        <v>38</v>
      </c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  <c r="X50" s="153">
        <f t="shared" si="3"/>
        <v>0</v>
      </c>
      <c r="Y50" s="312">
        <f t="shared" si="2"/>
        <v>0</v>
      </c>
      <c r="AA50" s="152">
        <v>33</v>
      </c>
      <c r="AB50" s="152">
        <v>17</v>
      </c>
      <c r="AC50" s="150"/>
      <c r="AD50" s="150"/>
      <c r="AE50" s="229"/>
      <c r="AF50" s="228">
        <f t="shared" si="1"/>
        <v>0</v>
      </c>
      <c r="AG50" s="291"/>
    </row>
    <row r="51" spans="1:33" x14ac:dyDescent="0.25">
      <c r="A51" s="289"/>
      <c r="B51" s="151">
        <v>39</v>
      </c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3">
        <f t="shared" si="3"/>
        <v>0</v>
      </c>
      <c r="Y51" s="312">
        <f t="shared" si="2"/>
        <v>0</v>
      </c>
      <c r="AA51" s="152">
        <v>34</v>
      </c>
      <c r="AB51" s="152">
        <v>17</v>
      </c>
      <c r="AC51" s="150"/>
      <c r="AD51" s="150"/>
      <c r="AE51" s="229"/>
      <c r="AF51" s="228">
        <f t="shared" si="1"/>
        <v>0</v>
      </c>
      <c r="AG51" s="291"/>
    </row>
    <row r="52" spans="1:33" ht="15.75" thickBot="1" x14ac:dyDescent="0.3">
      <c r="A52" s="289"/>
      <c r="B52" s="186">
        <v>40</v>
      </c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183"/>
      <c r="S52" s="183"/>
      <c r="T52" s="183"/>
      <c r="U52" s="183"/>
      <c r="V52" s="183"/>
      <c r="W52" s="183"/>
      <c r="X52" s="153">
        <f t="shared" si="3"/>
        <v>0</v>
      </c>
      <c r="Y52" s="312">
        <f t="shared" si="2"/>
        <v>0</v>
      </c>
      <c r="AA52" s="152">
        <v>35</v>
      </c>
      <c r="AB52" s="152">
        <v>18</v>
      </c>
      <c r="AC52" s="150"/>
      <c r="AD52" s="150"/>
      <c r="AE52" s="229"/>
      <c r="AF52" s="228">
        <f t="shared" si="1"/>
        <v>0</v>
      </c>
      <c r="AG52" s="291"/>
    </row>
    <row r="53" spans="1:33" ht="16.5" thickTop="1" thickBot="1" x14ac:dyDescent="0.3">
      <c r="A53" s="289"/>
      <c r="B53" s="187" t="s">
        <v>2</v>
      </c>
      <c r="C53" s="184">
        <f>SUM(C19:C52)</f>
        <v>0</v>
      </c>
      <c r="D53" s="184">
        <f t="shared" ref="D53:X53" si="4">SUM(D19:D52)</f>
        <v>0</v>
      </c>
      <c r="E53" s="184">
        <f t="shared" si="4"/>
        <v>0</v>
      </c>
      <c r="F53" s="184">
        <f t="shared" si="4"/>
        <v>0</v>
      </c>
      <c r="G53" s="184">
        <f t="shared" si="4"/>
        <v>0</v>
      </c>
      <c r="H53" s="184">
        <f t="shared" si="4"/>
        <v>0</v>
      </c>
      <c r="I53" s="184">
        <f t="shared" si="4"/>
        <v>0</v>
      </c>
      <c r="J53" s="184">
        <f t="shared" si="4"/>
        <v>0</v>
      </c>
      <c r="K53" s="184">
        <f t="shared" si="4"/>
        <v>0</v>
      </c>
      <c r="L53" s="184">
        <f t="shared" si="4"/>
        <v>0</v>
      </c>
      <c r="M53" s="184">
        <f t="shared" si="4"/>
        <v>0</v>
      </c>
      <c r="N53" s="184">
        <f t="shared" si="4"/>
        <v>0</v>
      </c>
      <c r="O53" s="184">
        <f t="shared" si="4"/>
        <v>0</v>
      </c>
      <c r="P53" s="184">
        <f t="shared" si="4"/>
        <v>0</v>
      </c>
      <c r="Q53" s="184">
        <f t="shared" si="4"/>
        <v>0</v>
      </c>
      <c r="R53" s="184">
        <f t="shared" si="4"/>
        <v>0</v>
      </c>
      <c r="S53" s="184">
        <f t="shared" si="4"/>
        <v>0</v>
      </c>
      <c r="T53" s="184">
        <f t="shared" si="4"/>
        <v>0</v>
      </c>
      <c r="U53" s="184">
        <f t="shared" si="4"/>
        <v>0</v>
      </c>
      <c r="V53" s="184">
        <f t="shared" si="4"/>
        <v>0</v>
      </c>
      <c r="W53" s="184">
        <f t="shared" si="4"/>
        <v>0</v>
      </c>
      <c r="X53" s="184">
        <f t="shared" si="4"/>
        <v>0</v>
      </c>
      <c r="Y53" s="260">
        <f>SUM(Y19:Y52)</f>
        <v>0</v>
      </c>
      <c r="AA53" s="152">
        <v>36</v>
      </c>
      <c r="AB53" s="152">
        <v>18</v>
      </c>
      <c r="AC53" s="150"/>
      <c r="AD53" s="150"/>
      <c r="AE53" s="229"/>
      <c r="AF53" s="228">
        <f t="shared" si="1"/>
        <v>0</v>
      </c>
      <c r="AG53" s="291"/>
    </row>
    <row r="54" spans="1:33" ht="15.75" thickTop="1" x14ac:dyDescent="0.25">
      <c r="A54" s="289"/>
      <c r="B54" s="293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292"/>
      <c r="X54" s="438"/>
      <c r="Y54" s="292"/>
      <c r="AA54" s="152">
        <v>37</v>
      </c>
      <c r="AB54" s="152">
        <v>19</v>
      </c>
      <c r="AC54" s="150"/>
      <c r="AD54" s="150"/>
      <c r="AE54" s="229"/>
      <c r="AF54" s="228">
        <f t="shared" si="1"/>
        <v>0</v>
      </c>
      <c r="AG54" s="291"/>
    </row>
    <row r="55" spans="1:33" x14ac:dyDescent="0.25">
      <c r="A55" s="289"/>
      <c r="B55" s="3"/>
      <c r="C55" s="4"/>
      <c r="D55" s="4"/>
      <c r="E55" s="4"/>
      <c r="F55" s="4"/>
      <c r="G55" s="4"/>
      <c r="H55" s="4"/>
      <c r="I55" s="4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AA55" s="152">
        <v>38</v>
      </c>
      <c r="AB55" s="152">
        <v>19</v>
      </c>
      <c r="AC55" s="150"/>
      <c r="AD55" s="150"/>
      <c r="AE55" s="229"/>
      <c r="AF55" s="228">
        <f t="shared" si="1"/>
        <v>0</v>
      </c>
      <c r="AG55" s="291"/>
    </row>
    <row r="56" spans="1:33" x14ac:dyDescent="0.25">
      <c r="A56" s="289"/>
      <c r="B56" s="3"/>
      <c r="C56" s="4"/>
      <c r="D56" s="4"/>
      <c r="E56" s="4"/>
      <c r="F56" s="4"/>
      <c r="G56" s="4"/>
      <c r="H56" s="4"/>
      <c r="I56" s="4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AA56" s="152">
        <v>39</v>
      </c>
      <c r="AB56" s="152">
        <v>20</v>
      </c>
      <c r="AC56" s="150"/>
      <c r="AD56" s="150"/>
      <c r="AE56" s="229"/>
      <c r="AF56" s="228">
        <f t="shared" si="1"/>
        <v>0</v>
      </c>
      <c r="AG56" s="291"/>
    </row>
    <row r="57" spans="1:33" x14ac:dyDescent="0.25">
      <c r="A57" s="289"/>
      <c r="B57" s="4"/>
      <c r="C57" s="4"/>
      <c r="D57" s="4"/>
      <c r="E57" s="4"/>
      <c r="F57" s="4"/>
      <c r="G57" s="4"/>
      <c r="H57" s="4"/>
      <c r="I57" s="4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AA57" s="152">
        <v>40</v>
      </c>
      <c r="AB57" s="152">
        <v>20</v>
      </c>
      <c r="AC57" s="150"/>
      <c r="AD57" s="150"/>
      <c r="AE57" s="229"/>
      <c r="AF57" s="228">
        <f t="shared" si="1"/>
        <v>0</v>
      </c>
      <c r="AG57" s="291"/>
    </row>
    <row r="58" spans="1:33" x14ac:dyDescent="0.25">
      <c r="A58" s="289"/>
      <c r="B58" s="4"/>
      <c r="C58" s="4"/>
      <c r="D58" s="4"/>
      <c r="E58" s="4"/>
      <c r="F58" s="4"/>
      <c r="G58" s="4"/>
      <c r="H58" s="4"/>
      <c r="I58" s="4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AA58" s="152">
        <v>41</v>
      </c>
      <c r="AB58" s="152">
        <v>21</v>
      </c>
      <c r="AC58" s="150"/>
      <c r="AD58" s="150"/>
      <c r="AE58" s="229"/>
      <c r="AF58" s="228">
        <f t="shared" si="1"/>
        <v>0</v>
      </c>
      <c r="AG58" s="291"/>
    </row>
    <row r="59" spans="1:33" x14ac:dyDescent="0.25">
      <c r="A59" s="289"/>
      <c r="B59" s="4"/>
      <c r="C59" s="4"/>
      <c r="D59" s="4"/>
      <c r="E59" s="4"/>
      <c r="F59" s="4"/>
      <c r="G59" s="4"/>
      <c r="H59" s="4"/>
      <c r="I59" s="4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AA59" s="152">
        <v>42</v>
      </c>
      <c r="AB59" s="152">
        <v>21</v>
      </c>
      <c r="AC59" s="150"/>
      <c r="AD59" s="150"/>
      <c r="AE59" s="229"/>
      <c r="AF59" s="228">
        <f t="shared" si="1"/>
        <v>0</v>
      </c>
      <c r="AG59" s="291"/>
    </row>
    <row r="60" spans="1:33" ht="6" customHeight="1" thickBot="1" x14ac:dyDescent="0.3">
      <c r="A60" s="325"/>
      <c r="B60" s="296"/>
      <c r="C60" s="296"/>
      <c r="D60" s="296"/>
      <c r="E60" s="296"/>
      <c r="F60" s="296"/>
      <c r="G60" s="296"/>
      <c r="H60" s="296"/>
      <c r="I60" s="296"/>
      <c r="J60" s="326"/>
      <c r="K60" s="326"/>
      <c r="L60" s="326"/>
      <c r="M60" s="326"/>
      <c r="N60" s="326"/>
      <c r="O60" s="326"/>
      <c r="P60" s="326"/>
      <c r="Q60" s="326"/>
      <c r="R60" s="326"/>
      <c r="S60" s="326"/>
      <c r="T60" s="326"/>
      <c r="U60" s="326"/>
      <c r="V60" s="326"/>
      <c r="W60" s="326"/>
      <c r="X60" s="326"/>
      <c r="Y60" s="326"/>
      <c r="Z60" s="326"/>
      <c r="AA60" s="296"/>
      <c r="AB60" s="296"/>
      <c r="AC60" s="296"/>
      <c r="AD60" s="296"/>
      <c r="AE60" s="296"/>
      <c r="AF60" s="311"/>
      <c r="AG60" s="327"/>
    </row>
    <row r="61" spans="1:33" x14ac:dyDescent="0.25">
      <c r="B61" s="4"/>
      <c r="C61" s="4"/>
      <c r="D61" s="4"/>
      <c r="E61" s="4"/>
      <c r="F61" s="4"/>
      <c r="G61" s="4"/>
      <c r="H61" s="4"/>
      <c r="I61" s="4"/>
    </row>
    <row r="62" spans="1:33" ht="15.75" thickBot="1" x14ac:dyDescent="0.3">
      <c r="B62" s="3" t="s">
        <v>442</v>
      </c>
      <c r="C62" s="4"/>
      <c r="D62" s="4"/>
      <c r="E62" s="4"/>
      <c r="F62" s="4"/>
      <c r="G62" s="4"/>
      <c r="H62" s="4"/>
      <c r="I62" s="4"/>
    </row>
    <row r="63" spans="1:33" ht="40.5" customHeight="1" thickTop="1" thickBot="1" x14ac:dyDescent="0.3">
      <c r="B63" s="192" t="s">
        <v>356</v>
      </c>
      <c r="C63" s="190"/>
      <c r="D63" s="190"/>
      <c r="E63" s="190"/>
      <c r="F63" s="196"/>
      <c r="H63" s="197" t="s">
        <v>219</v>
      </c>
      <c r="I63" s="198"/>
      <c r="J63" s="198"/>
      <c r="K63" s="199"/>
      <c r="L63" s="200"/>
      <c r="N63" s="813" t="s">
        <v>359</v>
      </c>
      <c r="O63" s="814"/>
      <c r="P63" s="814"/>
      <c r="Q63" s="814"/>
      <c r="R63" s="815"/>
      <c r="S63" s="105"/>
      <c r="AA63" s="210" t="s">
        <v>31</v>
      </c>
      <c r="AB63" s="211"/>
      <c r="AC63" s="211"/>
      <c r="AD63" s="212"/>
      <c r="AE63" s="213"/>
    </row>
    <row r="64" spans="1:33" ht="15.75" thickBot="1" x14ac:dyDescent="0.3">
      <c r="B64" s="193" t="s">
        <v>172</v>
      </c>
      <c r="C64" s="177"/>
      <c r="D64" s="189"/>
      <c r="E64" s="816" t="e">
        <f>VLOOKUP(SPecies,'Lookup Values'!O4:P90,2,FALSE)</f>
        <v>#N/A</v>
      </c>
      <c r="F64" s="817"/>
      <c r="H64" s="166" t="s">
        <v>326</v>
      </c>
      <c r="I64" s="164"/>
      <c r="J64" s="164"/>
      <c r="K64" s="201"/>
      <c r="L64" s="165" t="str">
        <f>VLOOKUP(SPecies,'Lookup Values'!O3:T90,3,FALSE)</f>
        <v>For Tarriff use this species</v>
      </c>
      <c r="N64" s="818" t="s">
        <v>358</v>
      </c>
      <c r="O64" s="819"/>
      <c r="P64" s="819"/>
      <c r="Q64" s="819"/>
      <c r="R64" s="820" t="e">
        <f>ROUNDDOWN(AVERAGEIF($AF$18:$AF$59,"&gt;0",$AF$18:$AF$59),0)</f>
        <v>#DIV/0!</v>
      </c>
      <c r="S64" s="77"/>
      <c r="AA64" s="216" t="s">
        <v>369</v>
      </c>
      <c r="AB64" s="212"/>
      <c r="AC64" s="212"/>
      <c r="AD64" s="212"/>
      <c r="AE64" s="213"/>
    </row>
    <row r="65" spans="2:36" x14ac:dyDescent="0.25">
      <c r="B65" s="193" t="s">
        <v>6</v>
      </c>
      <c r="C65" s="177"/>
      <c r="D65" s="189"/>
      <c r="E65" s="822">
        <f>X53</f>
        <v>0</v>
      </c>
      <c r="F65" s="817"/>
      <c r="H65" s="166" t="s">
        <v>215</v>
      </c>
      <c r="I65" s="164"/>
      <c r="J65" s="281" t="e">
        <f>VLOOKUP(L64,'Lookup Values'!$W$4:$AA$22,2,FALSE)</f>
        <v>#N/A</v>
      </c>
      <c r="K65" s="201"/>
      <c r="L65" s="202"/>
      <c r="N65" s="818"/>
      <c r="O65" s="819"/>
      <c r="P65" s="819"/>
      <c r="Q65" s="819"/>
      <c r="R65" s="821"/>
      <c r="S65" s="77"/>
      <c r="AA65" s="205" t="s">
        <v>24</v>
      </c>
      <c r="AB65" s="194">
        <v>3.6054099999999999E-2</v>
      </c>
      <c r="AC65" s="206" t="s">
        <v>26</v>
      </c>
      <c r="AD65" s="194">
        <v>0.315049301</v>
      </c>
      <c r="AE65" s="195"/>
      <c r="AF65" s="77"/>
      <c r="AG65" s="77"/>
      <c r="AH65" s="77"/>
      <c r="AI65" s="77"/>
    </row>
    <row r="66" spans="2:36" x14ac:dyDescent="0.25">
      <c r="B66" s="193" t="s">
        <v>355</v>
      </c>
      <c r="C66" s="177"/>
      <c r="D66" s="189"/>
      <c r="E66" s="795" t="e">
        <f>E65/D13</f>
        <v>#DIV/0!</v>
      </c>
      <c r="F66" s="796"/>
      <c r="H66" s="166" t="s">
        <v>216</v>
      </c>
      <c r="I66" s="164"/>
      <c r="J66" s="282" t="e">
        <f>VLOOKUP(L64,'Lookup Values'!$W$4:$AA$22,3,FALSE)</f>
        <v>#N/A</v>
      </c>
      <c r="K66" s="201"/>
      <c r="L66" s="202"/>
      <c r="N66" s="797" t="s">
        <v>357</v>
      </c>
      <c r="O66" s="798"/>
      <c r="P66" s="798"/>
      <c r="Q66" s="798"/>
      <c r="R66" s="799" t="e">
        <f>AVERAGEIF($AE$18:$AE$59,"&gt;0",$AE$18:$AE$59)</f>
        <v>#DIV/0!</v>
      </c>
      <c r="S66" s="77"/>
      <c r="AA66" s="205" t="s">
        <v>25</v>
      </c>
      <c r="AB66" s="194">
        <v>0.118288</v>
      </c>
      <c r="AC66" s="206" t="s">
        <v>27</v>
      </c>
      <c r="AD66" s="194">
        <v>0.13876330200000001</v>
      </c>
      <c r="AE66" s="195"/>
      <c r="AF66" s="77"/>
      <c r="AG66" s="77"/>
      <c r="AH66" s="77"/>
      <c r="AI66" s="77"/>
    </row>
    <row r="67" spans="2:36" x14ac:dyDescent="0.25">
      <c r="B67" s="193" t="s">
        <v>354</v>
      </c>
      <c r="C67" s="177"/>
      <c r="D67" s="189"/>
      <c r="E67" s="801" t="e">
        <f>E66*D9</f>
        <v>#DIV/0!</v>
      </c>
      <c r="F67" s="796"/>
      <c r="H67" s="166" t="s">
        <v>217</v>
      </c>
      <c r="I67" s="164"/>
      <c r="J67" s="164" t="e">
        <f>VLOOKUP(L64,'Lookup Values'!$W$4:$AA$22,4,FALSE)</f>
        <v>#N/A</v>
      </c>
      <c r="K67" s="201"/>
      <c r="L67" s="165"/>
      <c r="N67" s="797"/>
      <c r="O67" s="798"/>
      <c r="P67" s="798"/>
      <c r="Q67" s="798"/>
      <c r="R67" s="800"/>
      <c r="S67" s="77"/>
      <c r="AA67" s="205" t="s">
        <v>8</v>
      </c>
      <c r="AB67" s="194" t="e">
        <f>(AB65*Tarriff_Number)-(AB68*AB66)</f>
        <v>#DIV/0!</v>
      </c>
      <c r="AC67" s="206"/>
      <c r="AD67" s="194"/>
      <c r="AE67" s="195"/>
    </row>
    <row r="68" spans="2:36" ht="15.75" thickBot="1" x14ac:dyDescent="0.3">
      <c r="B68" s="193" t="s">
        <v>353</v>
      </c>
      <c r="C68" s="177"/>
      <c r="D68" s="189"/>
      <c r="E68" s="802" t="e">
        <f>ROUND((Y53/X53)^0.5,1)</f>
        <v>#DIV/0!</v>
      </c>
      <c r="F68" s="803"/>
      <c r="H68" s="168" t="s">
        <v>218</v>
      </c>
      <c r="I68" s="170"/>
      <c r="J68" s="170" t="e">
        <f>VLOOKUP(L64,'Lookup Values'!$W$4:$AA$22,5,FALSE)</f>
        <v>#N/A</v>
      </c>
      <c r="K68" s="203"/>
      <c r="L68" s="204"/>
      <c r="N68" s="804"/>
      <c r="O68" s="804"/>
      <c r="P68" s="804"/>
      <c r="Q68" s="804"/>
      <c r="R68" s="806"/>
      <c r="S68" s="106"/>
      <c r="AA68" s="205" t="s">
        <v>9</v>
      </c>
      <c r="AB68" s="194" t="e">
        <f>AD65*(Tarriff_Number-AD66)</f>
        <v>#DIV/0!</v>
      </c>
      <c r="AC68" s="206"/>
      <c r="AD68" s="194"/>
      <c r="AE68" s="195"/>
    </row>
    <row r="69" spans="2:36" ht="15.75" thickBot="1" x14ac:dyDescent="0.3">
      <c r="B69" s="784" t="s">
        <v>352</v>
      </c>
      <c r="C69" s="785"/>
      <c r="D69" s="785"/>
      <c r="E69" s="786" t="e">
        <f>PI()*E68^2/40000</f>
        <v>#DIV/0!</v>
      </c>
      <c r="F69" s="787"/>
      <c r="N69" s="805"/>
      <c r="O69" s="805"/>
      <c r="P69" s="805"/>
      <c r="Q69" s="805"/>
      <c r="R69" s="788"/>
      <c r="S69" s="106"/>
      <c r="AA69" s="210" t="s">
        <v>28</v>
      </c>
      <c r="AB69" s="214"/>
      <c r="AC69" s="210" t="s">
        <v>29</v>
      </c>
      <c r="AD69" s="215"/>
      <c r="AE69" s="214"/>
    </row>
    <row r="70" spans="2:36" ht="30.75" thickTop="1" x14ac:dyDescent="0.25">
      <c r="B70"/>
      <c r="N70" s="788"/>
      <c r="O70" s="788"/>
      <c r="P70" s="788"/>
      <c r="Q70" s="788"/>
      <c r="R70" s="369"/>
      <c r="S70" s="106"/>
      <c r="AA70" s="208" t="s">
        <v>459</v>
      </c>
      <c r="AB70" s="209" t="e">
        <f>AB67+(AB68*Mean_Basal_Area)</f>
        <v>#DIV/0!</v>
      </c>
      <c r="AC70" s="789" t="s">
        <v>360</v>
      </c>
      <c r="AD70" s="790"/>
      <c r="AE70" s="793" t="e">
        <f>AB71*No_Trees_In_Stratum</f>
        <v>#DIV/0!</v>
      </c>
      <c r="AF70" s="33"/>
    </row>
    <row r="71" spans="2:36" ht="15.75" thickBot="1" x14ac:dyDescent="0.3">
      <c r="B71" s="14"/>
      <c r="N71" s="106"/>
      <c r="O71" s="77"/>
      <c r="P71" s="77"/>
      <c r="Q71" s="77"/>
      <c r="R71" s="77"/>
      <c r="AA71" s="207" t="s">
        <v>458</v>
      </c>
      <c r="AB71" s="209" t="e">
        <f>AB70*VLOOKUP(ROUND(Quad_Mean_DBH,0),'Lookup Values'!AC4:AD47,2,FALSE)</f>
        <v>#DIV/0!</v>
      </c>
      <c r="AC71" s="791"/>
      <c r="AD71" s="792"/>
      <c r="AE71" s="794"/>
      <c r="AF71" s="33"/>
    </row>
    <row r="72" spans="2:36" ht="15.75" thickBot="1" x14ac:dyDescent="0.3">
      <c r="B72" s="14"/>
      <c r="AA72" s="216" t="s">
        <v>30</v>
      </c>
      <c r="AB72" s="219"/>
      <c r="AC72" s="212"/>
      <c r="AD72" s="220"/>
      <c r="AE72" s="343"/>
    </row>
    <row r="73" spans="2:36" x14ac:dyDescent="0.25">
      <c r="B73" s="14"/>
      <c r="N73" s="14"/>
      <c r="AA73" s="284" t="s">
        <v>379</v>
      </c>
      <c r="AB73" s="283" t="e">
        <f>VLOOKUP(SPecies,'Lookup Values'!O4:T90,4,FALSE)</f>
        <v>#N/A</v>
      </c>
      <c r="AC73" s="207" t="s">
        <v>361</v>
      </c>
      <c r="AD73" s="206"/>
      <c r="AE73" s="344" t="e">
        <f>AE70*VLOOKUP(AB73,'Lookup Values'!AG4:AH38,2,FALSE)</f>
        <v>#DIV/0!</v>
      </c>
      <c r="AF73" s="33"/>
    </row>
    <row r="74" spans="2:36" x14ac:dyDescent="0.25">
      <c r="B74"/>
      <c r="N74" s="14"/>
      <c r="AA74" s="221" t="s">
        <v>213</v>
      </c>
      <c r="AB74" s="222" t="e">
        <f>VLOOKUP(SPecies,'Lookup Values'!O4:T90,5,FALSE)</f>
        <v>#N/A</v>
      </c>
      <c r="AC74" s="223"/>
      <c r="AD74" s="223"/>
      <c r="AE74" s="345"/>
      <c r="AF74" s="33"/>
    </row>
    <row r="75" spans="2:36" x14ac:dyDescent="0.25">
      <c r="B75" s="77"/>
      <c r="C75" s="77"/>
      <c r="D75" s="77"/>
      <c r="AA75" s="207" t="s">
        <v>367</v>
      </c>
      <c r="AB75" s="209" t="e">
        <f>IF(Quad_Mean_DBH&lt;=50,VLOOKUP(AB74,'Lookup Values'!AJ4:AL11,2,FALSE)*(Quad_Mean_DBH^VLOOKUP(AB74,'Lookup Values'!AJ4:AL11,3,FALSE)),VLOOKUP(AB74,'Lookup Values'!AN4:AP11,2,FALSE)+(VLOOKUP(AB74,'Lookup Values'!AN4:AP11,3,FALSE)*Quad_Mean_DBH))</f>
        <v>#DIV/0!</v>
      </c>
      <c r="AC75" s="207" t="s">
        <v>365</v>
      </c>
      <c r="AD75" s="206"/>
      <c r="AE75" s="344" t="e">
        <f>AB75*No_Trees_In_Stratum</f>
        <v>#DIV/0!</v>
      </c>
      <c r="AF75" s="33"/>
      <c r="AG75" s="285"/>
      <c r="AH75" s="14"/>
      <c r="AJ75" s="14"/>
    </row>
    <row r="76" spans="2:36" x14ac:dyDescent="0.25">
      <c r="B76"/>
      <c r="AA76" s="221" t="s">
        <v>214</v>
      </c>
      <c r="AB76" s="224" t="e">
        <f>VLOOKUP(SPecies,'Lookup Values'!O4:T90,6,FALSE)</f>
        <v>#N/A</v>
      </c>
      <c r="AC76" s="223"/>
      <c r="AD76" s="223"/>
      <c r="AE76" s="345"/>
      <c r="AF76" s="33"/>
      <c r="AG76" s="285"/>
      <c r="AH76" s="14"/>
      <c r="AJ76" s="14"/>
    </row>
    <row r="77" spans="2:36" ht="15.75" thickBot="1" x14ac:dyDescent="0.3">
      <c r="B77"/>
      <c r="AA77" s="207" t="s">
        <v>368</v>
      </c>
      <c r="AB77" s="209" t="e">
        <f>IF(Quad_Mean_DBH&lt;=30,VLOOKUP(AB76,'Lookup Values'!AR4:AS9,2,FALSE)*Quad_Mean_DBH^2.5,VLOOKUP(AB76,'Lookup Values'!AU4:AW9,2,FALSE)+(VLOOKUP(AB76,'Lookup Values'!AU4:AW9,3,FALSE)*Quad_Mean_DBH))</f>
        <v>#DIV/0!</v>
      </c>
      <c r="AC77" s="207" t="s">
        <v>364</v>
      </c>
      <c r="AD77" s="206"/>
      <c r="AE77" s="344" t="e">
        <f>AB77*No_Trees_In_Stratum</f>
        <v>#DIV/0!</v>
      </c>
      <c r="AF77" s="33"/>
      <c r="AG77" s="285"/>
      <c r="AH77" s="14"/>
      <c r="AJ77" s="14"/>
    </row>
    <row r="78" spans="2:36" ht="16.5" thickTop="1" thickBot="1" x14ac:dyDescent="0.3">
      <c r="AA78" s="225"/>
      <c r="AB78" s="226"/>
      <c r="AC78" s="225" t="s">
        <v>363</v>
      </c>
      <c r="AD78" s="227"/>
      <c r="AE78" s="346" t="e">
        <f>SUM(AE73:AE77)</f>
        <v>#DIV/0!</v>
      </c>
      <c r="AF78" s="33"/>
    </row>
    <row r="79" spans="2:36" ht="15.75" thickBot="1" x14ac:dyDescent="0.3">
      <c r="AA79" s="210" t="s">
        <v>370</v>
      </c>
      <c r="AB79" s="219"/>
      <c r="AC79" s="211"/>
      <c r="AD79" s="211"/>
      <c r="AE79" s="343"/>
      <c r="AF79" s="33"/>
    </row>
    <row r="80" spans="2:36" ht="15.75" thickBot="1" x14ac:dyDescent="0.3">
      <c r="AA80" s="217" t="s">
        <v>366</v>
      </c>
      <c r="AB80" s="348" t="e">
        <f>AE78*0.5</f>
        <v>#DIV/0!</v>
      </c>
      <c r="AC80" s="217" t="s">
        <v>362</v>
      </c>
      <c r="AD80" s="218"/>
      <c r="AE80" s="347" t="e">
        <f>AE78*0.5*44/12</f>
        <v>#DIV/0!</v>
      </c>
      <c r="AF80" s="33"/>
    </row>
  </sheetData>
  <sheetProtection password="C395" sheet="1" objects="1" scenarios="1"/>
  <mergeCells count="31">
    <mergeCell ref="D11:F11"/>
    <mergeCell ref="D2:F2"/>
    <mergeCell ref="P2:X3"/>
    <mergeCell ref="D3:F3"/>
    <mergeCell ref="B4:C4"/>
    <mergeCell ref="D4:F4"/>
    <mergeCell ref="D5:F5"/>
    <mergeCell ref="D6:F6"/>
    <mergeCell ref="D7:F7"/>
    <mergeCell ref="D8:F8"/>
    <mergeCell ref="D9:F9"/>
    <mergeCell ref="D10:F10"/>
    <mergeCell ref="D12:F12"/>
    <mergeCell ref="D13:F13"/>
    <mergeCell ref="N63:R63"/>
    <mergeCell ref="E64:F64"/>
    <mergeCell ref="N64:Q65"/>
    <mergeCell ref="R64:R65"/>
    <mergeCell ref="E65:F65"/>
    <mergeCell ref="E66:F66"/>
    <mergeCell ref="N66:Q67"/>
    <mergeCell ref="R66:R67"/>
    <mergeCell ref="E67:F67"/>
    <mergeCell ref="E68:F68"/>
    <mergeCell ref="N68:Q69"/>
    <mergeCell ref="R68:R69"/>
    <mergeCell ref="B69:D69"/>
    <mergeCell ref="E69:F69"/>
    <mergeCell ref="N70:Q70"/>
    <mergeCell ref="AC70:AD71"/>
    <mergeCell ref="AE70:AE71"/>
  </mergeCells>
  <pageMargins left="0.23622047244094491" right="0.23622047244094491" top="0.74803149606299213" bottom="0.74803149606299213" header="0.31496062992125984" footer="0.31496062992125984"/>
  <pageSetup paperSize="8" scale="78" fitToWidth="2" orientation="landscape" verticalDpi="0" r:id="rId1"/>
  <colBreaks count="1" manualBreakCount="1">
    <brk id="24" max="5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9"/>
  <sheetViews>
    <sheetView workbookViewId="0">
      <selection activeCell="D20" sqref="D20"/>
    </sheetView>
  </sheetViews>
  <sheetFormatPr defaultRowHeight="15" x14ac:dyDescent="0.25"/>
  <cols>
    <col min="1" max="1" width="35" style="32" customWidth="1"/>
    <col min="2" max="2" width="30.140625" style="1" customWidth="1"/>
    <col min="3" max="3" width="15.85546875" customWidth="1"/>
    <col min="4" max="4" width="14.28515625" customWidth="1"/>
    <col min="5" max="5" width="11.7109375" customWidth="1"/>
    <col min="6" max="6" width="12" customWidth="1"/>
    <col min="7" max="7" width="11.28515625" style="1" customWidth="1"/>
  </cols>
  <sheetData>
    <row r="1" spans="1:33" ht="16.5" thickBot="1" x14ac:dyDescent="0.3">
      <c r="A1" s="147" t="s">
        <v>447</v>
      </c>
      <c r="L1" s="148" t="s">
        <v>446</v>
      </c>
      <c r="M1" s="56"/>
      <c r="N1" s="56"/>
      <c r="O1" s="56"/>
      <c r="P1" s="56"/>
      <c r="Q1" s="56"/>
      <c r="R1" s="56"/>
      <c r="S1" s="56"/>
      <c r="T1" s="56"/>
      <c r="U1" s="56"/>
      <c r="V1" s="56"/>
      <c r="X1" s="148" t="s">
        <v>329</v>
      </c>
      <c r="Y1" s="56"/>
      <c r="Z1" s="56"/>
      <c r="AA1" s="56"/>
      <c r="AB1" s="56"/>
      <c r="AC1" s="56"/>
      <c r="AD1" s="56"/>
      <c r="AE1" s="56"/>
      <c r="AF1" s="56"/>
      <c r="AG1" s="56"/>
    </row>
    <row r="2" spans="1:33" ht="45.75" thickBot="1" x14ac:dyDescent="0.3">
      <c r="A2" s="243"/>
      <c r="B2" s="105"/>
      <c r="C2" s="106"/>
      <c r="D2" s="77"/>
      <c r="E2" s="77"/>
      <c r="F2" s="77"/>
      <c r="G2" s="105"/>
      <c r="L2" s="842" t="s">
        <v>233</v>
      </c>
      <c r="M2" s="65" t="s">
        <v>234</v>
      </c>
      <c r="N2" s="65" t="s">
        <v>235</v>
      </c>
      <c r="O2" s="65" t="s">
        <v>236</v>
      </c>
      <c r="P2" s="65" t="s">
        <v>237</v>
      </c>
      <c r="Q2" s="65" t="s">
        <v>238</v>
      </c>
      <c r="R2" s="65" t="s">
        <v>239</v>
      </c>
      <c r="S2" s="65" t="s">
        <v>240</v>
      </c>
      <c r="T2" s="65" t="s">
        <v>241</v>
      </c>
      <c r="U2" s="65"/>
      <c r="V2" s="66" t="s">
        <v>242</v>
      </c>
      <c r="X2" s="842" t="s">
        <v>233</v>
      </c>
      <c r="Y2" s="65" t="s">
        <v>234</v>
      </c>
      <c r="Z2" s="65" t="s">
        <v>236</v>
      </c>
      <c r="AA2" s="65" t="s">
        <v>237</v>
      </c>
      <c r="AB2" s="65" t="s">
        <v>238</v>
      </c>
      <c r="AC2" s="65" t="s">
        <v>239</v>
      </c>
      <c r="AD2" s="65" t="s">
        <v>240</v>
      </c>
      <c r="AE2" s="65" t="s">
        <v>241</v>
      </c>
      <c r="AF2" s="435"/>
      <c r="AG2" s="66" t="s">
        <v>242</v>
      </c>
    </row>
    <row r="3" spans="1:33" s="1" customFormat="1" ht="154.5" x14ac:dyDescent="0.25">
      <c r="A3" s="249" t="s">
        <v>372</v>
      </c>
      <c r="B3" s="250" t="s">
        <v>445</v>
      </c>
      <c r="C3" s="334" t="s">
        <v>451</v>
      </c>
      <c r="D3" s="334" t="s">
        <v>452</v>
      </c>
      <c r="E3" s="334" t="s">
        <v>453</v>
      </c>
      <c r="F3" s="334" t="s">
        <v>454</v>
      </c>
      <c r="G3" s="335" t="s">
        <v>455</v>
      </c>
      <c r="L3" s="843"/>
      <c r="M3" s="67" t="s">
        <v>243</v>
      </c>
      <c r="N3" s="67" t="s">
        <v>244</v>
      </c>
      <c r="O3" s="67" t="s">
        <v>245</v>
      </c>
      <c r="P3" s="67" t="s">
        <v>246</v>
      </c>
      <c r="Q3" s="67" t="s">
        <v>247</v>
      </c>
      <c r="R3" s="67" t="s">
        <v>248</v>
      </c>
      <c r="S3" s="67" t="s">
        <v>249</v>
      </c>
      <c r="T3" s="67" t="s">
        <v>250</v>
      </c>
      <c r="U3" s="67" t="s">
        <v>252</v>
      </c>
      <c r="V3" s="68" t="s">
        <v>251</v>
      </c>
      <c r="X3" s="843"/>
      <c r="Y3" s="67" t="s">
        <v>371</v>
      </c>
      <c r="Z3" s="67" t="s">
        <v>245</v>
      </c>
      <c r="AA3" s="67" t="s">
        <v>246</v>
      </c>
      <c r="AB3" s="67" t="s">
        <v>247</v>
      </c>
      <c r="AC3" s="67" t="s">
        <v>248</v>
      </c>
      <c r="AD3" s="67" t="s">
        <v>249</v>
      </c>
      <c r="AE3" s="67" t="s">
        <v>250</v>
      </c>
      <c r="AF3" s="67" t="s">
        <v>479</v>
      </c>
      <c r="AG3" s="68" t="s">
        <v>251</v>
      </c>
    </row>
    <row r="4" spans="1:33" x14ac:dyDescent="0.25">
      <c r="A4" s="251" t="s">
        <v>220</v>
      </c>
      <c r="B4" s="248"/>
      <c r="C4" s="381" t="e">
        <f>Stratum1_Seedling!S41</f>
        <v>#DIV/0!</v>
      </c>
      <c r="D4" s="360">
        <v>0</v>
      </c>
      <c r="E4" s="360">
        <v>0</v>
      </c>
      <c r="F4" s="360">
        <v>0</v>
      </c>
      <c r="G4" s="361" t="e">
        <f>SUM(C4:F4)</f>
        <v>#DIV/0!</v>
      </c>
      <c r="L4" s="69">
        <v>5</v>
      </c>
      <c r="M4" s="70"/>
      <c r="N4" s="70"/>
      <c r="O4" s="70"/>
      <c r="P4" s="70"/>
      <c r="Q4" s="70"/>
      <c r="R4" s="71"/>
      <c r="S4" s="71"/>
      <c r="T4" s="70"/>
      <c r="U4" s="71"/>
      <c r="V4" s="71"/>
      <c r="X4" s="69">
        <v>5</v>
      </c>
      <c r="Y4" s="434">
        <v>0</v>
      </c>
      <c r="Z4" s="364">
        <f t="shared" ref="Z4:AA6" si="0">O4</f>
        <v>0</v>
      </c>
      <c r="AA4" s="364">
        <f t="shared" si="0"/>
        <v>0</v>
      </c>
      <c r="AB4" s="364">
        <f>SUM(Y4:AA4)</f>
        <v>0</v>
      </c>
      <c r="AC4" s="364">
        <f t="shared" ref="AC4:AD6" si="1">R4</f>
        <v>0</v>
      </c>
      <c r="AD4" s="364">
        <f t="shared" si="1"/>
        <v>0</v>
      </c>
      <c r="AE4" s="364">
        <f t="shared" ref="AE4:AE5" si="2">ROUND(AB4-AC4-AD4,0)</f>
        <v>0</v>
      </c>
      <c r="AF4" s="364">
        <f t="shared" ref="AF4:AF5" si="3">ROUND(AF$2/100*AE4,0)</f>
        <v>0</v>
      </c>
      <c r="AG4" s="365">
        <f t="shared" ref="AG4:AG6" si="4">AE4-AF4</f>
        <v>0</v>
      </c>
    </row>
    <row r="5" spans="1:33" x14ac:dyDescent="0.25">
      <c r="A5" s="251" t="s">
        <v>221</v>
      </c>
      <c r="B5" s="248"/>
      <c r="C5" s="381">
        <f>Stratum1_Sapling!S41</f>
        <v>0</v>
      </c>
      <c r="D5" s="360">
        <v>0</v>
      </c>
      <c r="E5" s="360">
        <v>0</v>
      </c>
      <c r="F5" s="360">
        <v>0</v>
      </c>
      <c r="G5" s="361">
        <f t="shared" ref="G5:G9" si="5">SUM(C5:F5)</f>
        <v>0</v>
      </c>
      <c r="L5" s="69">
        <v>10</v>
      </c>
      <c r="M5" s="70"/>
      <c r="N5" s="70"/>
      <c r="O5" s="70"/>
      <c r="P5" s="70"/>
      <c r="Q5" s="70"/>
      <c r="R5" s="71"/>
      <c r="S5" s="71"/>
      <c r="T5" s="70"/>
      <c r="U5" s="71"/>
      <c r="V5" s="71"/>
      <c r="X5" s="69">
        <v>10</v>
      </c>
      <c r="Y5" s="434">
        <v>0</v>
      </c>
      <c r="Z5" s="364">
        <f t="shared" si="0"/>
        <v>0</v>
      </c>
      <c r="AA5" s="364">
        <f t="shared" si="0"/>
        <v>0</v>
      </c>
      <c r="AB5" s="364">
        <f t="shared" ref="AB5" si="6">SUM(Y5:AA5)</f>
        <v>0</v>
      </c>
      <c r="AC5" s="364">
        <f t="shared" si="1"/>
        <v>0</v>
      </c>
      <c r="AD5" s="364">
        <f t="shared" si="1"/>
        <v>0</v>
      </c>
      <c r="AE5" s="364">
        <f t="shared" si="2"/>
        <v>0</v>
      </c>
      <c r="AF5" s="364">
        <f t="shared" si="3"/>
        <v>0</v>
      </c>
      <c r="AG5" s="365">
        <f t="shared" si="4"/>
        <v>0</v>
      </c>
    </row>
    <row r="6" spans="1:33" x14ac:dyDescent="0.25">
      <c r="A6" s="251" t="s">
        <v>222</v>
      </c>
      <c r="B6" s="380" t="str">
        <f>'Planning Stratum1_Species'!B17</f>
        <v>Species</v>
      </c>
      <c r="C6" s="382" t="e">
        <f>Stratum1_Tree_Species_1!AE80</f>
        <v>#DIV/0!</v>
      </c>
      <c r="D6" s="360">
        <v>0</v>
      </c>
      <c r="E6" s="360">
        <v>0</v>
      </c>
      <c r="F6" s="360">
        <v>0</v>
      </c>
      <c r="G6" s="361" t="e">
        <f t="shared" si="5"/>
        <v>#DIV/0!</v>
      </c>
      <c r="L6" s="246">
        <v>15</v>
      </c>
      <c r="M6" s="70"/>
      <c r="N6" s="70"/>
      <c r="O6" s="70"/>
      <c r="P6" s="70"/>
      <c r="Q6" s="70"/>
      <c r="R6" s="71"/>
      <c r="S6" s="71"/>
      <c r="T6" s="70"/>
      <c r="U6" s="71"/>
      <c r="V6" s="71"/>
      <c r="X6" s="69">
        <v>15</v>
      </c>
      <c r="Y6" s="434" t="e">
        <f>G10</f>
        <v>#DIV/0!</v>
      </c>
      <c r="Z6" s="364">
        <f t="shared" si="0"/>
        <v>0</v>
      </c>
      <c r="AA6" s="364">
        <f t="shared" si="0"/>
        <v>0</v>
      </c>
      <c r="AB6" s="364" t="e">
        <f t="shared" ref="AB6" si="7">SUM(Y6:AA6)</f>
        <v>#DIV/0!</v>
      </c>
      <c r="AC6" s="364">
        <f t="shared" si="1"/>
        <v>0</v>
      </c>
      <c r="AD6" s="364">
        <f t="shared" si="1"/>
        <v>0</v>
      </c>
      <c r="AE6" s="364" t="e">
        <f>ROUND(AB6-AC6-AD6,0)</f>
        <v>#DIV/0!</v>
      </c>
      <c r="AF6" s="364" t="e">
        <f>ROUND(0.2*AE6,0)</f>
        <v>#DIV/0!</v>
      </c>
      <c r="AG6" s="365" t="e">
        <f t="shared" si="4"/>
        <v>#DIV/0!</v>
      </c>
    </row>
    <row r="7" spans="1:33" x14ac:dyDescent="0.25">
      <c r="A7" s="251" t="s">
        <v>223</v>
      </c>
      <c r="B7" s="380" t="str">
        <f>'Planning Stratum1_Species'!B18</f>
        <v>Species</v>
      </c>
      <c r="C7" s="382" t="e">
        <f>Stratum1_Tree_Species_2!AE80</f>
        <v>#DIV/0!</v>
      </c>
      <c r="D7" s="360">
        <v>0</v>
      </c>
      <c r="E7" s="360">
        <v>0</v>
      </c>
      <c r="F7" s="360">
        <v>0</v>
      </c>
      <c r="G7" s="361" t="e">
        <f t="shared" si="5"/>
        <v>#DIV/0!</v>
      </c>
      <c r="L7" s="246">
        <v>20</v>
      </c>
      <c r="M7" s="70"/>
      <c r="N7" s="70"/>
      <c r="O7" s="70"/>
      <c r="P7" s="70"/>
      <c r="Q7" s="70"/>
      <c r="R7" s="71"/>
      <c r="S7" s="71"/>
      <c r="T7" s="70"/>
      <c r="U7" s="71"/>
      <c r="V7" s="71"/>
      <c r="X7" s="69">
        <v>20</v>
      </c>
      <c r="Y7" s="434"/>
      <c r="Z7" s="366"/>
      <c r="AA7" s="366"/>
      <c r="AB7" s="366"/>
      <c r="AC7" s="367"/>
      <c r="AD7" s="367"/>
      <c r="AE7" s="366"/>
      <c r="AF7" s="366"/>
      <c r="AG7" s="368"/>
    </row>
    <row r="8" spans="1:33" x14ac:dyDescent="0.25">
      <c r="A8" s="251" t="s">
        <v>224</v>
      </c>
      <c r="B8" s="247" t="s">
        <v>226</v>
      </c>
      <c r="C8" s="360">
        <v>0</v>
      </c>
      <c r="D8" s="360">
        <v>0</v>
      </c>
      <c r="E8" s="360">
        <v>0</v>
      </c>
      <c r="F8" s="360">
        <v>0</v>
      </c>
      <c r="G8" s="361">
        <f t="shared" si="5"/>
        <v>0</v>
      </c>
      <c r="L8" s="69">
        <v>25</v>
      </c>
      <c r="M8" s="70"/>
      <c r="N8" s="70"/>
      <c r="O8" s="70"/>
      <c r="P8" s="70"/>
      <c r="Q8" s="70"/>
      <c r="R8" s="71"/>
      <c r="S8" s="71"/>
      <c r="T8" s="70"/>
      <c r="U8" s="71"/>
      <c r="V8" s="71"/>
      <c r="X8" s="69">
        <v>25</v>
      </c>
      <c r="Y8" s="434"/>
      <c r="Z8" s="366"/>
      <c r="AA8" s="366"/>
      <c r="AB8" s="366"/>
      <c r="AC8" s="367"/>
      <c r="AD8" s="367"/>
      <c r="AE8" s="366"/>
      <c r="AF8" s="366"/>
      <c r="AG8" s="368"/>
    </row>
    <row r="9" spans="1:33" x14ac:dyDescent="0.25">
      <c r="A9" s="251" t="s">
        <v>225</v>
      </c>
      <c r="B9" s="247" t="s">
        <v>226</v>
      </c>
      <c r="C9" s="360">
        <v>0</v>
      </c>
      <c r="D9" s="360">
        <v>0</v>
      </c>
      <c r="E9" s="360">
        <v>0</v>
      </c>
      <c r="F9" s="360">
        <v>0</v>
      </c>
      <c r="G9" s="361">
        <f t="shared" si="5"/>
        <v>0</v>
      </c>
      <c r="L9" s="69">
        <v>30</v>
      </c>
      <c r="M9" s="70"/>
      <c r="N9" s="70"/>
      <c r="O9" s="70"/>
      <c r="P9" s="70"/>
      <c r="Q9" s="70"/>
      <c r="R9" s="71"/>
      <c r="S9" s="71"/>
      <c r="T9" s="70"/>
      <c r="U9" s="71"/>
      <c r="V9" s="71"/>
      <c r="X9" s="69">
        <v>30</v>
      </c>
      <c r="Y9" s="434"/>
      <c r="Z9" s="366"/>
      <c r="AA9" s="366"/>
      <c r="AB9" s="366"/>
      <c r="AC9" s="367"/>
      <c r="AD9" s="367"/>
      <c r="AE9" s="366"/>
      <c r="AF9" s="366"/>
      <c r="AG9" s="368"/>
    </row>
    <row r="10" spans="1:33" s="1" customFormat="1" ht="15.75" thickBot="1" x14ac:dyDescent="0.3">
      <c r="A10" s="252" t="s">
        <v>232</v>
      </c>
      <c r="B10" s="253"/>
      <c r="C10" s="362" t="e">
        <f>SUM(C4:C9)</f>
        <v>#DIV/0!</v>
      </c>
      <c r="D10" s="362">
        <f>SUM(D4:D9)</f>
        <v>0</v>
      </c>
      <c r="E10" s="362">
        <f>SUM(E4:E9)</f>
        <v>0</v>
      </c>
      <c r="F10" s="362">
        <f>SUM(F4:F9)</f>
        <v>0</v>
      </c>
      <c r="G10" s="363" t="e">
        <f>ROUND(SUM(C10:F10),0)</f>
        <v>#DIV/0!</v>
      </c>
      <c r="L10" s="69">
        <v>35</v>
      </c>
      <c r="M10" s="70"/>
      <c r="N10" s="70"/>
      <c r="O10" s="70"/>
      <c r="P10" s="70"/>
      <c r="Q10" s="70"/>
      <c r="R10" s="71"/>
      <c r="S10" s="71"/>
      <c r="T10" s="70"/>
      <c r="U10" s="71"/>
      <c r="V10" s="71"/>
      <c r="X10" s="69">
        <v>35</v>
      </c>
      <c r="Y10" s="434"/>
      <c r="Z10" s="366"/>
      <c r="AA10" s="366"/>
      <c r="AB10" s="366"/>
      <c r="AC10" s="367"/>
      <c r="AD10" s="367"/>
      <c r="AE10" s="366"/>
      <c r="AF10" s="366"/>
      <c r="AG10" s="368"/>
    </row>
    <row r="11" spans="1:33" x14ac:dyDescent="0.25">
      <c r="L11" s="69">
        <v>40</v>
      </c>
      <c r="M11" s="70"/>
      <c r="N11" s="70"/>
      <c r="O11" s="70"/>
      <c r="P11" s="70"/>
      <c r="Q11" s="70"/>
      <c r="R11" s="71"/>
      <c r="S11" s="71"/>
      <c r="T11" s="70"/>
      <c r="U11" s="71"/>
      <c r="V11" s="71"/>
      <c r="X11" s="69">
        <v>40</v>
      </c>
      <c r="Y11" s="434"/>
      <c r="Z11" s="366"/>
      <c r="AA11" s="366"/>
      <c r="AB11" s="366"/>
      <c r="AC11" s="367"/>
      <c r="AD11" s="367"/>
      <c r="AE11" s="366"/>
      <c r="AF11" s="366"/>
      <c r="AG11" s="368"/>
    </row>
    <row r="12" spans="1:33" ht="16.5" thickBot="1" x14ac:dyDescent="0.3">
      <c r="A12" s="118" t="s">
        <v>227</v>
      </c>
      <c r="B12"/>
      <c r="L12" s="69">
        <v>45</v>
      </c>
      <c r="M12" s="70"/>
      <c r="N12" s="70"/>
      <c r="O12" s="70"/>
      <c r="P12" s="70"/>
      <c r="Q12" s="70"/>
      <c r="R12" s="71"/>
      <c r="S12" s="71"/>
      <c r="T12" s="70"/>
      <c r="U12" s="71"/>
      <c r="V12" s="71"/>
      <c r="X12" s="69">
        <v>45</v>
      </c>
      <c r="Y12" s="434"/>
      <c r="Z12" s="366"/>
      <c r="AA12" s="366"/>
      <c r="AB12" s="366"/>
      <c r="AC12" s="367"/>
      <c r="AD12" s="367"/>
      <c r="AE12" s="366"/>
      <c r="AF12" s="366"/>
      <c r="AG12" s="368"/>
    </row>
    <row r="13" spans="1:33" ht="26.25" thickBot="1" x14ac:dyDescent="0.3">
      <c r="A13" s="57" t="s">
        <v>228</v>
      </c>
      <c r="B13" s="261">
        <v>38460</v>
      </c>
      <c r="C13" s="58" t="s">
        <v>229</v>
      </c>
      <c r="D13" s="261">
        <v>42111</v>
      </c>
      <c r="L13" s="69">
        <v>50</v>
      </c>
      <c r="M13" s="70"/>
      <c r="N13" s="70"/>
      <c r="O13" s="70"/>
      <c r="P13" s="70"/>
      <c r="Q13" s="70"/>
      <c r="R13" s="71"/>
      <c r="S13" s="71"/>
      <c r="T13" s="70"/>
      <c r="U13" s="71"/>
      <c r="V13" s="71"/>
      <c r="X13" s="69">
        <v>50</v>
      </c>
      <c r="Y13" s="434"/>
      <c r="Z13" s="366"/>
      <c r="AA13" s="366"/>
      <c r="AB13" s="366"/>
      <c r="AC13" s="367"/>
      <c r="AD13" s="367"/>
      <c r="AE13" s="366"/>
      <c r="AF13" s="366"/>
      <c r="AG13" s="368"/>
    </row>
    <row r="14" spans="1:33" ht="39" thickBot="1" x14ac:dyDescent="0.3">
      <c r="A14" s="59"/>
      <c r="B14" s="60" t="s">
        <v>448</v>
      </c>
      <c r="C14" s="61" t="s">
        <v>449</v>
      </c>
      <c r="D14" s="61" t="s">
        <v>450</v>
      </c>
      <c r="L14" s="69">
        <v>55</v>
      </c>
      <c r="M14" s="70"/>
      <c r="N14" s="70"/>
      <c r="O14" s="70"/>
      <c r="P14" s="70"/>
      <c r="Q14" s="70"/>
      <c r="R14" s="71"/>
      <c r="S14" s="71"/>
      <c r="T14" s="70"/>
      <c r="U14" s="71"/>
      <c r="V14" s="71"/>
      <c r="X14" s="69">
        <v>55</v>
      </c>
      <c r="Y14" s="434"/>
      <c r="Z14" s="366"/>
      <c r="AA14" s="366"/>
      <c r="AB14" s="366"/>
      <c r="AC14" s="367"/>
      <c r="AD14" s="367"/>
      <c r="AE14" s="366"/>
      <c r="AF14" s="366"/>
      <c r="AG14" s="368"/>
    </row>
    <row r="15" spans="1:33" ht="26.25" thickBot="1" x14ac:dyDescent="0.3">
      <c r="A15" s="62" t="s">
        <v>443</v>
      </c>
      <c r="B15" s="430">
        <f>T6</f>
        <v>0</v>
      </c>
      <c r="C15" s="430">
        <f t="shared" ref="C15:D15" si="8">U6</f>
        <v>0</v>
      </c>
      <c r="D15" s="430">
        <f t="shared" si="8"/>
        <v>0</v>
      </c>
      <c r="E15" s="436" t="s">
        <v>465</v>
      </c>
      <c r="L15" s="69">
        <v>60</v>
      </c>
      <c r="M15" s="70"/>
      <c r="N15" s="70"/>
      <c r="O15" s="70"/>
      <c r="P15" s="70"/>
      <c r="Q15" s="70"/>
      <c r="R15" s="71"/>
      <c r="S15" s="71"/>
      <c r="T15" s="70"/>
      <c r="U15" s="71"/>
      <c r="V15" s="71"/>
      <c r="X15" s="69">
        <v>60</v>
      </c>
      <c r="Y15" s="434"/>
      <c r="Z15" s="366"/>
      <c r="AA15" s="366"/>
      <c r="AB15" s="366"/>
      <c r="AC15" s="367"/>
      <c r="AD15" s="367"/>
      <c r="AE15" s="366"/>
      <c r="AF15" s="366"/>
      <c r="AG15" s="368"/>
    </row>
    <row r="16" spans="1:33" ht="26.25" thickBot="1" x14ac:dyDescent="0.3">
      <c r="A16" s="63" t="s">
        <v>444</v>
      </c>
      <c r="B16" s="431" t="e">
        <f t="shared" ref="B16:C16" si="9">AE6</f>
        <v>#DIV/0!</v>
      </c>
      <c r="C16" s="431" t="e">
        <f t="shared" si="9"/>
        <v>#DIV/0!</v>
      </c>
      <c r="D16" s="431" t="e">
        <f>AG6</f>
        <v>#DIV/0!</v>
      </c>
      <c r="E16" s="436" t="s">
        <v>466</v>
      </c>
      <c r="L16" s="69">
        <v>65</v>
      </c>
      <c r="M16" s="70"/>
      <c r="N16" s="70"/>
      <c r="O16" s="70"/>
      <c r="P16" s="70"/>
      <c r="Q16" s="70"/>
      <c r="R16" s="71"/>
      <c r="S16" s="71"/>
      <c r="T16" s="70"/>
      <c r="U16" s="71"/>
      <c r="V16" s="71"/>
      <c r="X16" s="69">
        <v>65</v>
      </c>
      <c r="Y16" s="434"/>
      <c r="Z16" s="366"/>
      <c r="AA16" s="366"/>
      <c r="AB16" s="366"/>
      <c r="AC16" s="367"/>
      <c r="AD16" s="367"/>
      <c r="AE16" s="366"/>
      <c r="AF16" s="366"/>
      <c r="AG16" s="368"/>
    </row>
    <row r="17" spans="1:33" ht="16.5" thickTop="1" thickBot="1" x14ac:dyDescent="0.3">
      <c r="A17" s="64" t="s">
        <v>230</v>
      </c>
      <c r="B17" s="432" t="e">
        <f>IF(B16-B15&lt;0,-(B16-B15),0)</f>
        <v>#DIV/0!</v>
      </c>
      <c r="C17" s="432" t="e">
        <f t="shared" ref="C17:D17" si="10">IF(C16-C15&lt;0,-(C16-C15),0)</f>
        <v>#DIV/0!</v>
      </c>
      <c r="D17" s="432" t="e">
        <f t="shared" si="10"/>
        <v>#DIV/0!</v>
      </c>
      <c r="E17" s="33"/>
      <c r="L17" s="69">
        <v>70</v>
      </c>
      <c r="M17" s="70"/>
      <c r="N17" s="70"/>
      <c r="O17" s="70"/>
      <c r="P17" s="70"/>
      <c r="Q17" s="70"/>
      <c r="R17" s="71"/>
      <c r="S17" s="71"/>
      <c r="T17" s="70"/>
      <c r="U17" s="71"/>
      <c r="V17" s="71"/>
      <c r="X17" s="69">
        <v>70</v>
      </c>
      <c r="Y17" s="434"/>
      <c r="Z17" s="366"/>
      <c r="AA17" s="366"/>
      <c r="AB17" s="366"/>
      <c r="AC17" s="367"/>
      <c r="AD17" s="367"/>
      <c r="AE17" s="366"/>
      <c r="AF17" s="366"/>
      <c r="AG17" s="368"/>
    </row>
    <row r="18" spans="1:33" ht="15.75" thickBot="1" x14ac:dyDescent="0.3">
      <c r="A18" s="64" t="s">
        <v>231</v>
      </c>
      <c r="B18" s="433" t="e">
        <f>IF(B16-B15&gt;0,B16-B15,0)</f>
        <v>#DIV/0!</v>
      </c>
      <c r="C18" s="433" t="e">
        <f t="shared" ref="C18:D18" si="11">IF(C16-C15&gt;0,C16-C15,0)</f>
        <v>#DIV/0!</v>
      </c>
      <c r="D18" s="433" t="e">
        <f t="shared" si="11"/>
        <v>#DIV/0!</v>
      </c>
      <c r="L18" s="69">
        <v>75</v>
      </c>
      <c r="M18" s="70"/>
      <c r="N18" s="70"/>
      <c r="O18" s="70"/>
      <c r="P18" s="70"/>
      <c r="Q18" s="70"/>
      <c r="R18" s="71"/>
      <c r="S18" s="71"/>
      <c r="T18" s="70"/>
      <c r="U18" s="71"/>
      <c r="V18" s="71"/>
      <c r="X18" s="69">
        <v>75</v>
      </c>
      <c r="Y18" s="434"/>
      <c r="Z18" s="366"/>
      <c r="AA18" s="366"/>
      <c r="AB18" s="366"/>
      <c r="AC18" s="367"/>
      <c r="AD18" s="367"/>
      <c r="AE18" s="366"/>
      <c r="AF18" s="366"/>
      <c r="AG18" s="368"/>
    </row>
    <row r="19" spans="1:33" x14ac:dyDescent="0.25">
      <c r="L19" s="69">
        <v>80</v>
      </c>
      <c r="M19" s="70"/>
      <c r="N19" s="70"/>
      <c r="O19" s="70"/>
      <c r="P19" s="70"/>
      <c r="Q19" s="70"/>
      <c r="R19" s="71"/>
      <c r="S19" s="71"/>
      <c r="T19" s="70"/>
      <c r="U19" s="71"/>
      <c r="V19" s="71"/>
      <c r="X19" s="69">
        <v>80</v>
      </c>
      <c r="Y19" s="434"/>
      <c r="Z19" s="366"/>
      <c r="AA19" s="366"/>
      <c r="AB19" s="366"/>
      <c r="AC19" s="367"/>
      <c r="AD19" s="367"/>
      <c r="AE19" s="366"/>
      <c r="AF19" s="366"/>
      <c r="AG19" s="368"/>
    </row>
    <row r="20" spans="1:33" x14ac:dyDescent="0.25">
      <c r="A20" s="262"/>
      <c r="B20" s="263"/>
      <c r="C20" s="264"/>
      <c r="D20" s="263"/>
      <c r="E20" s="149"/>
      <c r="F20" s="149"/>
      <c r="G20" s="265"/>
      <c r="H20" s="4"/>
      <c r="L20" s="69">
        <v>85</v>
      </c>
      <c r="M20" s="70"/>
      <c r="N20" s="70"/>
      <c r="O20" s="70"/>
      <c r="P20" s="70"/>
      <c r="Q20" s="70"/>
      <c r="R20" s="71"/>
      <c r="S20" s="71"/>
      <c r="T20" s="70"/>
      <c r="U20" s="71"/>
      <c r="V20" s="71"/>
      <c r="X20" s="69">
        <v>85</v>
      </c>
      <c r="Y20" s="434"/>
      <c r="Z20" s="366"/>
      <c r="AA20" s="366"/>
      <c r="AB20" s="366"/>
      <c r="AC20" s="367"/>
      <c r="AD20" s="367"/>
      <c r="AE20" s="366"/>
      <c r="AF20" s="366"/>
      <c r="AG20" s="368"/>
    </row>
    <row r="21" spans="1:33" x14ac:dyDescent="0.25">
      <c r="A21" s="437"/>
      <c r="B21" s="264"/>
      <c r="C21" s="264"/>
      <c r="D21" s="264"/>
      <c r="E21" s="149"/>
      <c r="F21" s="149"/>
      <c r="G21" s="265"/>
      <c r="H21" s="4"/>
      <c r="L21" s="69">
        <v>90</v>
      </c>
      <c r="M21" s="70"/>
      <c r="N21" s="70"/>
      <c r="O21" s="70"/>
      <c r="P21" s="70"/>
      <c r="Q21" s="70"/>
      <c r="R21" s="71"/>
      <c r="S21" s="71"/>
      <c r="T21" s="70"/>
      <c r="U21" s="71"/>
      <c r="V21" s="71"/>
      <c r="X21" s="69">
        <v>90</v>
      </c>
      <c r="Y21" s="434"/>
      <c r="Z21" s="366"/>
      <c r="AA21" s="366"/>
      <c r="AB21" s="366"/>
      <c r="AC21" s="367"/>
      <c r="AD21" s="367"/>
      <c r="AE21" s="366"/>
      <c r="AF21" s="366"/>
      <c r="AG21" s="368"/>
    </row>
    <row r="22" spans="1:33" x14ac:dyDescent="0.25">
      <c r="A22" s="437"/>
      <c r="B22" s="266"/>
      <c r="C22" s="266"/>
      <c r="D22" s="266"/>
      <c r="E22" s="236"/>
      <c r="F22" s="149"/>
      <c r="G22" s="265"/>
      <c r="H22" s="4"/>
      <c r="L22" s="69">
        <v>95</v>
      </c>
      <c r="M22" s="70"/>
      <c r="N22" s="70"/>
      <c r="O22" s="70"/>
      <c r="P22" s="70"/>
      <c r="Q22" s="70"/>
      <c r="R22" s="71"/>
      <c r="S22" s="71"/>
      <c r="T22" s="70"/>
      <c r="U22" s="71"/>
      <c r="V22" s="71"/>
      <c r="X22" s="69">
        <v>95</v>
      </c>
      <c r="Y22" s="434"/>
      <c r="Z22" s="366"/>
      <c r="AA22" s="366"/>
      <c r="AB22" s="366"/>
      <c r="AC22" s="367"/>
      <c r="AD22" s="367"/>
      <c r="AE22" s="366"/>
      <c r="AF22" s="366"/>
      <c r="AG22" s="368"/>
    </row>
    <row r="23" spans="1:33" ht="15.75" thickBot="1" x14ac:dyDescent="0.3">
      <c r="A23" s="437"/>
      <c r="B23" s="266"/>
      <c r="C23" s="266"/>
      <c r="D23" s="266"/>
      <c r="E23" s="149"/>
      <c r="F23" s="149"/>
      <c r="G23" s="265"/>
      <c r="H23" s="4"/>
      <c r="L23" s="72">
        <v>100</v>
      </c>
      <c r="M23" s="70"/>
      <c r="N23" s="73"/>
      <c r="O23" s="73"/>
      <c r="P23" s="70"/>
      <c r="Q23" s="70"/>
      <c r="R23" s="71"/>
      <c r="S23" s="71"/>
      <c r="T23" s="70"/>
      <c r="U23" s="71"/>
      <c r="V23" s="71"/>
      <c r="X23" s="72">
        <v>100</v>
      </c>
      <c r="Y23" s="434"/>
      <c r="Z23" s="366"/>
      <c r="AA23" s="366"/>
      <c r="AB23" s="366"/>
      <c r="AC23" s="367"/>
      <c r="AD23" s="367"/>
      <c r="AE23" s="366"/>
      <c r="AF23" s="366"/>
      <c r="AG23" s="368"/>
    </row>
    <row r="24" spans="1:33" x14ac:dyDescent="0.25">
      <c r="A24" s="437"/>
      <c r="B24" s="267"/>
      <c r="C24" s="268"/>
      <c r="D24" s="269"/>
      <c r="E24" s="149"/>
      <c r="F24" s="149"/>
      <c r="G24" s="265"/>
      <c r="H24" s="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</row>
    <row r="25" spans="1:33" x14ac:dyDescent="0.25">
      <c r="A25" s="270"/>
      <c r="B25" s="241"/>
      <c r="C25" s="241"/>
      <c r="D25" s="241"/>
      <c r="E25" s="149"/>
      <c r="F25" s="4"/>
      <c r="G25" s="3"/>
      <c r="H25" s="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</row>
    <row r="26" spans="1:33" x14ac:dyDescent="0.25">
      <c r="A26" s="242"/>
      <c r="B26" s="3"/>
      <c r="C26" s="4"/>
      <c r="D26" s="4"/>
      <c r="E26" s="149"/>
      <c r="F26" s="4"/>
      <c r="G26" s="3"/>
      <c r="H26" s="4"/>
      <c r="L26" s="14"/>
    </row>
    <row r="27" spans="1:33" x14ac:dyDescent="0.25">
      <c r="A27" s="242"/>
      <c r="B27" s="3"/>
      <c r="C27" s="4"/>
      <c r="D27" s="4"/>
      <c r="E27" s="149"/>
      <c r="F27" s="4"/>
      <c r="G27" s="3"/>
      <c r="H27" s="4"/>
      <c r="L27" s="265"/>
    </row>
    <row r="28" spans="1:33" x14ac:dyDescent="0.25">
      <c r="A28" s="234"/>
      <c r="B28" s="235"/>
      <c r="C28" s="235"/>
      <c r="D28" s="235"/>
      <c r="E28" s="149"/>
      <c r="F28" s="4"/>
      <c r="G28" s="3"/>
      <c r="H28" s="4"/>
      <c r="L28" s="265"/>
    </row>
    <row r="29" spans="1:33" x14ac:dyDescent="0.25">
      <c r="A29" s="234"/>
      <c r="B29" s="235"/>
      <c r="C29" s="235"/>
      <c r="D29" s="235"/>
      <c r="E29" s="149"/>
      <c r="F29" s="4"/>
      <c r="G29" s="3"/>
      <c r="H29" s="4"/>
      <c r="L29" s="265"/>
    </row>
    <row r="30" spans="1:33" x14ac:dyDescent="0.25">
      <c r="A30" s="237"/>
      <c r="B30" s="238"/>
      <c r="C30" s="239"/>
      <c r="D30" s="240"/>
      <c r="E30" s="149"/>
      <c r="F30" s="4"/>
      <c r="G30" s="3"/>
      <c r="H30" s="4"/>
    </row>
    <row r="31" spans="1:33" x14ac:dyDescent="0.25">
      <c r="A31" s="237"/>
      <c r="B31" s="241"/>
      <c r="C31" s="241"/>
      <c r="D31" s="241"/>
      <c r="E31" s="4"/>
      <c r="F31" s="4"/>
      <c r="G31" s="3"/>
      <c r="H31" s="4"/>
    </row>
    <row r="33" spans="1:9" x14ac:dyDescent="0.25">
      <c r="A33" s="243"/>
      <c r="B33" s="105"/>
      <c r="C33" s="77"/>
      <c r="D33" s="77"/>
      <c r="E33" s="77"/>
      <c r="F33" s="77"/>
      <c r="G33" s="105"/>
      <c r="H33" s="77"/>
      <c r="I33" s="77"/>
    </row>
    <row r="34" spans="1:9" x14ac:dyDescent="0.25">
      <c r="A34" s="243"/>
      <c r="B34" s="105"/>
      <c r="C34" s="77"/>
      <c r="D34" s="77"/>
      <c r="E34" s="77"/>
      <c r="F34" s="77"/>
      <c r="G34" s="105"/>
      <c r="H34" s="77"/>
      <c r="I34" s="77"/>
    </row>
    <row r="35" spans="1:9" x14ac:dyDescent="0.25">
      <c r="A35" s="243"/>
      <c r="B35" s="105"/>
      <c r="C35" s="77"/>
      <c r="D35" s="77"/>
      <c r="E35" s="77"/>
      <c r="F35" s="77"/>
      <c r="G35" s="105"/>
      <c r="H35" s="77"/>
      <c r="I35" s="77"/>
    </row>
    <row r="36" spans="1:9" x14ac:dyDescent="0.25">
      <c r="A36" s="243"/>
      <c r="B36" s="105"/>
      <c r="C36" s="77"/>
      <c r="D36" s="77"/>
      <c r="E36" s="77"/>
      <c r="F36" s="77"/>
      <c r="G36" s="105"/>
      <c r="H36" s="77"/>
      <c r="I36" s="77"/>
    </row>
    <row r="37" spans="1:9" x14ac:dyDescent="0.25">
      <c r="A37" s="243"/>
      <c r="B37" s="244"/>
      <c r="C37" s="245"/>
      <c r="D37" s="245"/>
      <c r="E37" s="245"/>
      <c r="F37" s="245"/>
      <c r="G37" s="244"/>
      <c r="H37" s="77"/>
      <c r="I37" s="77"/>
    </row>
    <row r="38" spans="1:9" x14ac:dyDescent="0.25">
      <c r="A38" s="243"/>
      <c r="B38" s="105"/>
      <c r="C38" s="77"/>
      <c r="D38" s="77"/>
      <c r="E38" s="77"/>
      <c r="F38" s="77"/>
      <c r="G38" s="105"/>
      <c r="H38" s="77"/>
      <c r="I38" s="77"/>
    </row>
    <row r="39" spans="1:9" x14ac:dyDescent="0.25">
      <c r="A39" s="243"/>
      <c r="B39" s="105"/>
      <c r="C39" s="77"/>
      <c r="D39" s="77"/>
      <c r="E39" s="77"/>
      <c r="F39" s="77"/>
      <c r="G39" s="105"/>
      <c r="H39" s="77"/>
      <c r="I39" s="77"/>
    </row>
  </sheetData>
  <mergeCells count="2">
    <mergeCell ref="L2:L3"/>
    <mergeCell ref="X2:X3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activeCell="E29" sqref="E29"/>
    </sheetView>
  </sheetViews>
  <sheetFormatPr defaultRowHeight="15" x14ac:dyDescent="0.25"/>
  <cols>
    <col min="1" max="1" width="17.85546875" customWidth="1"/>
    <col min="2" max="2" width="16.28515625" customWidth="1"/>
    <col min="3" max="3" width="16.140625" customWidth="1"/>
    <col min="4" max="4" width="15.5703125" customWidth="1"/>
    <col min="5" max="5" width="14.42578125" customWidth="1"/>
    <col min="6" max="6" width="14.5703125" customWidth="1"/>
    <col min="7" max="7" width="10.42578125" customWidth="1"/>
  </cols>
  <sheetData>
    <row r="1" spans="1:9" x14ac:dyDescent="0.25">
      <c r="A1" s="1" t="s">
        <v>302</v>
      </c>
    </row>
    <row r="2" spans="1:9" x14ac:dyDescent="0.25">
      <c r="A2" s="1" t="s">
        <v>305</v>
      </c>
      <c r="B2" s="680"/>
      <c r="C2" t="s">
        <v>308</v>
      </c>
    </row>
    <row r="3" spans="1:9" s="77" customFormat="1" ht="15.75" thickBot="1" x14ac:dyDescent="0.3">
      <c r="A3" s="105"/>
      <c r="B3" s="105"/>
    </row>
    <row r="4" spans="1:9" ht="63.75" x14ac:dyDescent="0.25">
      <c r="A4" s="110" t="s">
        <v>290</v>
      </c>
      <c r="B4" s="111" t="s">
        <v>291</v>
      </c>
      <c r="C4" s="111" t="s">
        <v>292</v>
      </c>
      <c r="D4" s="111" t="s">
        <v>293</v>
      </c>
      <c r="E4" s="111" t="s">
        <v>294</v>
      </c>
      <c r="F4" s="111" t="s">
        <v>295</v>
      </c>
      <c r="G4" s="111" t="s">
        <v>296</v>
      </c>
      <c r="H4" s="111" t="s">
        <v>297</v>
      </c>
      <c r="I4" s="112" t="s">
        <v>298</v>
      </c>
    </row>
    <row r="5" spans="1:9" x14ac:dyDescent="0.25">
      <c r="A5" s="400"/>
      <c r="B5" s="398"/>
      <c r="C5" s="401"/>
      <c r="D5" s="401"/>
      <c r="E5" s="401"/>
      <c r="F5" s="402"/>
      <c r="G5" s="403"/>
      <c r="H5" s="404"/>
      <c r="I5" s="405"/>
    </row>
    <row r="6" spans="1:9" x14ac:dyDescent="0.25">
      <c r="A6" s="400"/>
      <c r="B6" s="398"/>
      <c r="C6" s="401"/>
      <c r="D6" s="401"/>
      <c r="E6" s="401"/>
      <c r="F6" s="402"/>
      <c r="G6" s="403"/>
      <c r="H6" s="406"/>
      <c r="I6" s="405"/>
    </row>
    <row r="7" spans="1:9" x14ac:dyDescent="0.25">
      <c r="A7" s="400"/>
      <c r="B7" s="398"/>
      <c r="C7" s="401"/>
      <c r="D7" s="401"/>
      <c r="E7" s="401"/>
      <c r="F7" s="402"/>
      <c r="G7" s="403"/>
      <c r="H7" s="406"/>
      <c r="I7" s="405"/>
    </row>
    <row r="8" spans="1:9" x14ac:dyDescent="0.25">
      <c r="A8" s="400"/>
      <c r="B8" s="398"/>
      <c r="C8" s="401"/>
      <c r="D8" s="401"/>
      <c r="E8" s="401"/>
      <c r="F8" s="402"/>
      <c r="G8" s="403"/>
      <c r="H8" s="406"/>
      <c r="I8" s="405"/>
    </row>
    <row r="9" spans="1:9" x14ac:dyDescent="0.25">
      <c r="A9" s="400"/>
      <c r="B9" s="399"/>
      <c r="C9" s="401"/>
      <c r="D9" s="401"/>
      <c r="E9" s="401"/>
      <c r="F9" s="402"/>
      <c r="G9" s="403"/>
      <c r="H9" s="406"/>
      <c r="I9" s="405"/>
    </row>
    <row r="10" spans="1:9" x14ac:dyDescent="0.25">
      <c r="A10" s="400"/>
      <c r="B10" s="399"/>
      <c r="C10" s="401"/>
      <c r="D10" s="401"/>
      <c r="E10" s="401"/>
      <c r="F10" s="402"/>
      <c r="G10" s="403"/>
      <c r="H10" s="406"/>
      <c r="I10" s="405"/>
    </row>
    <row r="11" spans="1:9" x14ac:dyDescent="0.25">
      <c r="A11" s="400"/>
      <c r="B11" s="399"/>
      <c r="C11" s="401"/>
      <c r="D11" s="401"/>
      <c r="E11" s="401"/>
      <c r="F11" s="402"/>
      <c r="G11" s="407"/>
      <c r="H11" s="406"/>
      <c r="I11" s="405"/>
    </row>
    <row r="12" spans="1:9" ht="15.75" thickBot="1" x14ac:dyDescent="0.3">
      <c r="A12" s="408"/>
      <c r="B12" s="409"/>
      <c r="C12" s="410"/>
      <c r="D12" s="410"/>
      <c r="E12" s="410"/>
      <c r="F12" s="415"/>
      <c r="G12" s="414"/>
      <c r="H12" s="411"/>
      <c r="I12" s="416"/>
    </row>
    <row r="13" spans="1:9" ht="16.5" thickBot="1" x14ac:dyDescent="0.3">
      <c r="A13" s="418"/>
      <c r="B13" s="113"/>
      <c r="C13" s="113"/>
      <c r="D13" s="113"/>
      <c r="E13" s="114"/>
      <c r="F13" s="419" t="s">
        <v>299</v>
      </c>
      <c r="G13" s="113"/>
      <c r="H13" s="115">
        <f>SUM(H5:H12)</f>
        <v>0</v>
      </c>
      <c r="I13" s="412">
        <f>SUM(I5:I12)</f>
        <v>0</v>
      </c>
    </row>
    <row r="14" spans="1:9" ht="15.75" x14ac:dyDescent="0.25">
      <c r="A14" s="417" t="s">
        <v>304</v>
      </c>
      <c r="B14" s="417"/>
      <c r="C14" s="428">
        <f>(100/1.8)^C5</f>
        <v>1</v>
      </c>
      <c r="D14" s="417" t="s">
        <v>307</v>
      </c>
      <c r="E14" s="386"/>
      <c r="F14" s="387"/>
      <c r="H14" s="388"/>
      <c r="I14" s="413"/>
    </row>
    <row r="15" spans="1:9" ht="15.75" x14ac:dyDescent="0.25">
      <c r="A15" s="394" t="s">
        <v>306</v>
      </c>
      <c r="B15" s="394"/>
      <c r="C15" s="396">
        <f>100/(C14^0.5)</f>
        <v>100</v>
      </c>
      <c r="D15" s="395" t="s">
        <v>289</v>
      </c>
    </row>
    <row r="16" spans="1:9" x14ac:dyDescent="0.25">
      <c r="A16" s="394" t="s">
        <v>311</v>
      </c>
      <c r="B16" s="394"/>
      <c r="C16" s="397">
        <f>C14*I13</f>
        <v>0</v>
      </c>
      <c r="D16" s="394"/>
    </row>
    <row r="18" spans="1:7" x14ac:dyDescent="0.25">
      <c r="A18" s="1" t="s">
        <v>300</v>
      </c>
    </row>
    <row r="19" spans="1:7" x14ac:dyDescent="0.25">
      <c r="A19" s="1" t="s">
        <v>309</v>
      </c>
      <c r="B19" s="681"/>
      <c r="C19" t="s">
        <v>310</v>
      </c>
    </row>
    <row r="20" spans="1:7" x14ac:dyDescent="0.25">
      <c r="A20" s="1"/>
    </row>
    <row r="21" spans="1:7" x14ac:dyDescent="0.25">
      <c r="A21" s="116" t="s">
        <v>3</v>
      </c>
      <c r="B21" s="2" t="s">
        <v>475</v>
      </c>
      <c r="C21" s="2" t="s">
        <v>476</v>
      </c>
      <c r="D21" s="2" t="s">
        <v>477</v>
      </c>
      <c r="E21" s="2" t="s">
        <v>2</v>
      </c>
      <c r="F21" s="2" t="s">
        <v>301</v>
      </c>
    </row>
    <row r="22" spans="1:7" x14ac:dyDescent="0.25">
      <c r="A22" s="398"/>
      <c r="B22" s="117"/>
      <c r="C22" s="117"/>
      <c r="D22" s="117"/>
      <c r="E22" s="682">
        <f>SUM(B22:D22)</f>
        <v>0</v>
      </c>
      <c r="F22" s="684" t="e">
        <f t="shared" ref="F22:F27" si="0">E22/E$28</f>
        <v>#DIV/0!</v>
      </c>
      <c r="G22" s="33"/>
    </row>
    <row r="23" spans="1:7" x14ac:dyDescent="0.25">
      <c r="A23" s="398"/>
      <c r="B23" s="117"/>
      <c r="C23" s="117"/>
      <c r="D23" s="117"/>
      <c r="E23" s="682">
        <f t="shared" ref="E23:E27" si="1">SUM(B23:D23)</f>
        <v>0</v>
      </c>
      <c r="F23" s="684" t="e">
        <f t="shared" si="0"/>
        <v>#DIV/0!</v>
      </c>
      <c r="G23" s="33"/>
    </row>
    <row r="24" spans="1:7" x14ac:dyDescent="0.25">
      <c r="A24" s="398"/>
      <c r="B24" s="117"/>
      <c r="C24" s="117"/>
      <c r="D24" s="117"/>
      <c r="E24" s="682">
        <f t="shared" si="1"/>
        <v>0</v>
      </c>
      <c r="F24" s="684" t="e">
        <f t="shared" si="0"/>
        <v>#DIV/0!</v>
      </c>
      <c r="G24" s="33"/>
    </row>
    <row r="25" spans="1:7" x14ac:dyDescent="0.25">
      <c r="A25" s="398"/>
      <c r="B25" s="117"/>
      <c r="C25" s="117"/>
      <c r="D25" s="117"/>
      <c r="E25" s="682">
        <f t="shared" si="1"/>
        <v>0</v>
      </c>
      <c r="F25" s="684" t="e">
        <f t="shared" si="0"/>
        <v>#DIV/0!</v>
      </c>
      <c r="G25" s="33"/>
    </row>
    <row r="26" spans="1:7" x14ac:dyDescent="0.25">
      <c r="A26" s="399"/>
      <c r="B26" s="117"/>
      <c r="C26" s="117"/>
      <c r="D26" s="117"/>
      <c r="E26" s="682">
        <f t="shared" si="1"/>
        <v>0</v>
      </c>
      <c r="F26" s="684" t="e">
        <f t="shared" si="0"/>
        <v>#DIV/0!</v>
      </c>
      <c r="G26" s="33"/>
    </row>
    <row r="27" spans="1:7" ht="15.75" thickBot="1" x14ac:dyDescent="0.3">
      <c r="A27" s="409"/>
      <c r="B27" s="420"/>
      <c r="C27" s="420"/>
      <c r="D27" s="420"/>
      <c r="E27" s="683">
        <f t="shared" si="1"/>
        <v>0</v>
      </c>
      <c r="F27" s="685" t="e">
        <f t="shared" si="0"/>
        <v>#DIV/0!</v>
      </c>
    </row>
    <row r="28" spans="1:7" s="1" customFormat="1" ht="15.75" thickBot="1" x14ac:dyDescent="0.3">
      <c r="A28" s="426" t="s">
        <v>303</v>
      </c>
      <c r="B28" s="427">
        <f>SUM(B22:B27)</f>
        <v>0</v>
      </c>
      <c r="C28" s="427">
        <f>SUM(C22:C27)</f>
        <v>0</v>
      </c>
      <c r="D28" s="427">
        <f>SUM(D22:D27)</f>
        <v>0</v>
      </c>
      <c r="E28" s="424">
        <f>SUM(E22:E27)</f>
        <v>0</v>
      </c>
      <c r="F28" s="425" t="e">
        <f>SUM(F22:F27)</f>
        <v>#DIV/0!</v>
      </c>
    </row>
    <row r="29" spans="1:7" x14ac:dyDescent="0.25">
      <c r="A29" s="421" t="s">
        <v>304</v>
      </c>
      <c r="B29" s="422"/>
      <c r="C29" s="422"/>
      <c r="D29" s="422"/>
      <c r="E29" s="429" t="e">
        <f>E28/B19</f>
        <v>#DIV/0!</v>
      </c>
      <c r="F29" s="423" t="s">
        <v>307</v>
      </c>
    </row>
    <row r="30" spans="1:7" x14ac:dyDescent="0.25">
      <c r="A30" s="391" t="s">
        <v>306</v>
      </c>
      <c r="B30" s="389"/>
      <c r="C30" s="389"/>
      <c r="D30" s="389"/>
      <c r="E30" s="392" t="e">
        <f>100/SQRT(E29)</f>
        <v>#DIV/0!</v>
      </c>
      <c r="F30" s="390" t="s">
        <v>289</v>
      </c>
    </row>
    <row r="31" spans="1:7" x14ac:dyDescent="0.25">
      <c r="A31" s="391" t="s">
        <v>311</v>
      </c>
      <c r="B31" s="389"/>
      <c r="C31" s="389"/>
      <c r="D31" s="389"/>
      <c r="E31" s="393" t="e">
        <f>E29*B19</f>
        <v>#DIV/0!</v>
      </c>
      <c r="F31" s="390"/>
    </row>
    <row r="33" spans="1:11" x14ac:dyDescent="0.25">
      <c r="A33" s="383" t="s">
        <v>393</v>
      </c>
      <c r="B33" s="384"/>
      <c r="C33" s="384"/>
      <c r="D33" s="384"/>
      <c r="E33" s="384"/>
      <c r="F33" s="384"/>
      <c r="G33" s="384"/>
      <c r="H33" s="384"/>
      <c r="I33" s="384"/>
      <c r="J33" s="385"/>
    </row>
    <row r="34" spans="1:11" x14ac:dyDescent="0.25">
      <c r="A34" s="332"/>
      <c r="B34" s="328"/>
      <c r="C34" s="328"/>
      <c r="D34" s="328"/>
      <c r="E34" s="328"/>
      <c r="F34" s="328"/>
      <c r="G34" s="328"/>
      <c r="H34" s="328"/>
      <c r="I34" s="328"/>
      <c r="J34" s="329"/>
      <c r="K34" s="33"/>
    </row>
    <row r="35" spans="1:11" x14ac:dyDescent="0.25">
      <c r="A35" s="274"/>
      <c r="B35" s="275"/>
      <c r="C35" s="275"/>
      <c r="D35" s="275"/>
      <c r="E35" s="275"/>
      <c r="F35" s="275"/>
      <c r="G35" s="275"/>
      <c r="H35" s="275"/>
      <c r="I35" s="275"/>
      <c r="J35" s="276"/>
    </row>
    <row r="36" spans="1:11" x14ac:dyDescent="0.25">
      <c r="A36" s="274"/>
      <c r="B36" s="275"/>
      <c r="C36" s="275"/>
      <c r="D36" s="275"/>
      <c r="E36" s="275"/>
      <c r="F36" s="275"/>
      <c r="G36" s="275"/>
      <c r="H36" s="275"/>
      <c r="I36" s="275"/>
      <c r="J36" s="276"/>
    </row>
    <row r="37" spans="1:11" x14ac:dyDescent="0.25">
      <c r="A37" s="277"/>
      <c r="B37" s="278"/>
      <c r="C37" s="278"/>
      <c r="D37" s="278"/>
      <c r="E37" s="278"/>
      <c r="F37" s="278"/>
      <c r="G37" s="278"/>
      <c r="H37" s="278"/>
      <c r="I37" s="278"/>
      <c r="J37" s="279"/>
    </row>
    <row r="39" spans="1:11" x14ac:dyDescent="0.25">
      <c r="A39" s="14"/>
    </row>
  </sheetData>
  <pageMargins left="0.7" right="0.7" top="0.75" bottom="0.75" header="0.3" footer="0.3"/>
  <pageSetup paperSize="9" orientation="portrait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16</vt:i4>
      </vt:variant>
    </vt:vector>
  </HeadingPairs>
  <TitlesOfParts>
    <vt:vector size="26" baseType="lpstr">
      <vt:lpstr>README- TAB MENU</vt:lpstr>
      <vt:lpstr>Planning - Stratification</vt:lpstr>
      <vt:lpstr>Planning Stratum1_Species</vt:lpstr>
      <vt:lpstr>Stratum1_Seedling</vt:lpstr>
      <vt:lpstr>Stratum1_Sapling</vt:lpstr>
      <vt:lpstr>Stratum1_Tree_Species_1</vt:lpstr>
      <vt:lpstr>Stratum1_Tree_Species_2</vt:lpstr>
      <vt:lpstr>Project_Total_Carbon</vt:lpstr>
      <vt:lpstr>Species_Spacing_Compare</vt:lpstr>
      <vt:lpstr>Lookup Values</vt:lpstr>
      <vt:lpstr>Stratum1_Tree_Species_1!Mean_Basal_Area</vt:lpstr>
      <vt:lpstr>Stratum1_Tree_Species_2!Mean_Basal_Area</vt:lpstr>
      <vt:lpstr>Stratum1_Tree_Species_1!No_Trees_In_Stratum</vt:lpstr>
      <vt:lpstr>Stratum1_Tree_Species_2!No_Trees_In_Stratum</vt:lpstr>
      <vt:lpstr>Stratum1_Sapling!Print_Area</vt:lpstr>
      <vt:lpstr>Stratum1_Seedling!Print_Area</vt:lpstr>
      <vt:lpstr>Stratum1_Tree_Species_1!Print_Area</vt:lpstr>
      <vt:lpstr>Stratum1_Tree_Species_2!Print_Area</vt:lpstr>
      <vt:lpstr>Stratum1_Tree_Species_1!Quad_Mean_DBH</vt:lpstr>
      <vt:lpstr>Stratum1_Tree_Species_2!Quad_Mean_DBH</vt:lpstr>
      <vt:lpstr>Stratum1_Tree_Species_1!SPecies</vt:lpstr>
      <vt:lpstr>Stratum1_Tree_Species_2!SPecies</vt:lpstr>
      <vt:lpstr>'Lookup Values'!Table_Crown_7_to_50_cm_DBH</vt:lpstr>
      <vt:lpstr>'Lookup Values'!Table_Crown_GT_50_cm_DBH</vt:lpstr>
      <vt:lpstr>Stratum1_Tree_Species_1!Tarriff_Number</vt:lpstr>
      <vt:lpstr>Stratum1_Tree_Species_2!Tarriff_Number</vt:lpstr>
    </vt:vector>
  </TitlesOfParts>
  <Company>Forestry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West, Vicky</dc:creator>
  <cp:lastModifiedBy>u321688</cp:lastModifiedBy>
  <cp:lastPrinted>2021-05-28T07:58:36Z</cp:lastPrinted>
  <dcterms:created xsi:type="dcterms:W3CDTF">2018-05-01T17:53:44Z</dcterms:created>
  <dcterms:modified xsi:type="dcterms:W3CDTF">2021-12-17T10:40:31Z</dcterms:modified>
</cp:coreProperties>
</file>