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S:\Climate Change\Woodland Carbon Code\Additionality\2025 - Additionality\2025\Post-Consultation edits\"/>
    </mc:Choice>
  </mc:AlternateContent>
  <xr:revisionPtr revIDLastSave="0" documentId="13_ncr:1_{4C15A3F8-29DC-4DF5-8833-D631B6A75E46}" xr6:coauthVersionLast="47" xr6:coauthVersionMax="47" xr10:uidLastSave="{00000000-0000-0000-0000-000000000000}"/>
  <workbookProtection workbookAlgorithmName="SHA-512" workbookHashValue="n5FHdJmsNd2ribeRPnb42iaWau+4ABlRjGuJNjlPcKG0oh5EQ07zP65e5KB/y6zD0J9HYgfb6M9RMX1zAYOatQ==" workbookSaltValue="c4Ysjkx2UBCGs23a+pLuNA==" workbookSpinCount="100000" lockStructure="1"/>
  <bookViews>
    <workbookView xWindow="28680" yWindow="-120" windowWidth="20730" windowHeight="11160" xr2:uid="{E5722C12-E33E-4A94-A201-51A12829EE63}"/>
  </bookViews>
  <sheets>
    <sheet name="Introduction" sheetId="5" r:id="rId1"/>
    <sheet name="Data entry" sheetId="10" r:id="rId2"/>
    <sheet name="Cashflow" sheetId="1" r:id="rId3"/>
    <sheet name="Results" sheetId="13" r:id="rId4"/>
    <sheet name="FAQs" sheetId="14" r:id="rId5"/>
    <sheet name="Income data" sheetId="9" r:id="rId6"/>
    <sheet name="Cost data" sheetId="8" r:id="rId7"/>
    <sheet name="Income forgone and BPS data" sheetId="11" r:id="rId8"/>
    <sheet name="Lookup Tables" sheetId="12" state="hidden" r:id="rId9"/>
    <sheet name="Disclaimer of warranty" sheetId="6" r:id="rId10"/>
    <sheet name="Version control" sheetId="7" r:id="rId11"/>
  </sheets>
  <definedNames>
    <definedName name="England">'Lookup Tables'!$B$3:$B$12</definedName>
    <definedName name="Northern_Ireland">'Lookup Tables'!$E$3:$E$8</definedName>
    <definedName name="Scotland">'Lookup Tables'!$C$3:$C$14</definedName>
    <definedName name="Select_Farm_Type">'Lookup Tables'!$A$3</definedName>
    <definedName name="VERSION_1">'Data entry'!$A$116:$R$126</definedName>
    <definedName name="VERSION_1_COSTS">'Data entry'!$M$115:$R$126</definedName>
    <definedName name="VERSION_2">'Data entry'!$A$131:$R$142</definedName>
    <definedName name="VERSION_2_COSTS">'Data entry'!$M$130:$R$142</definedName>
    <definedName name="VERSION_3">'Data entry'!$A$148:$R$162</definedName>
    <definedName name="VERSION_3_COSTS">'Data entry'!$M$147:$R$162</definedName>
    <definedName name="Wales">'Lookup Tables'!$D$3:$D$13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3" i="1" l="1"/>
  <c r="AB53" i="1"/>
  <c r="AE53" i="1"/>
  <c r="AG53" i="1"/>
  <c r="O154" i="10" l="1"/>
  <c r="O153" i="10"/>
  <c r="O152" i="10"/>
  <c r="O151" i="10"/>
  <c r="O150" i="10"/>
  <c r="O149" i="10"/>
  <c r="O133" i="10"/>
  <c r="O134" i="10"/>
  <c r="O132" i="10"/>
  <c r="O119" i="10"/>
  <c r="CY50" i="1"/>
  <c r="G50" i="1"/>
  <c r="H50" i="1"/>
  <c r="I50" i="1"/>
  <c r="J50" i="1"/>
  <c r="K50" i="1"/>
  <c r="L50" i="1"/>
  <c r="M50" i="1"/>
  <c r="N50" i="1"/>
  <c r="O50" i="1"/>
  <c r="P50" i="1"/>
  <c r="Q50" i="1"/>
  <c r="R50" i="1"/>
  <c r="S50" i="1"/>
  <c r="T50" i="1"/>
  <c r="U50" i="1"/>
  <c r="V50" i="1"/>
  <c r="W50" i="1"/>
  <c r="X50" i="1"/>
  <c r="Y50" i="1"/>
  <c r="Z50" i="1"/>
  <c r="AA50" i="1"/>
  <c r="AB50" i="1"/>
  <c r="AC50" i="1"/>
  <c r="AD50" i="1"/>
  <c r="AE50" i="1"/>
  <c r="AF50" i="1"/>
  <c r="AG50" i="1"/>
  <c r="AH50" i="1"/>
  <c r="AI50" i="1"/>
  <c r="AJ50" i="1"/>
  <c r="AK50" i="1"/>
  <c r="AL50" i="1"/>
  <c r="AM50" i="1"/>
  <c r="AN50" i="1"/>
  <c r="AO50" i="1"/>
  <c r="AP50" i="1"/>
  <c r="AQ50" i="1"/>
  <c r="AR50" i="1"/>
  <c r="AS50" i="1"/>
  <c r="AT50" i="1"/>
  <c r="AU50" i="1"/>
  <c r="AV50" i="1"/>
  <c r="AW50" i="1"/>
  <c r="AX50" i="1"/>
  <c r="AY50" i="1"/>
  <c r="AZ50" i="1"/>
  <c r="BA50" i="1"/>
  <c r="BB50" i="1"/>
  <c r="BC50" i="1"/>
  <c r="BD50" i="1"/>
  <c r="BE50" i="1"/>
  <c r="BF50" i="1"/>
  <c r="BG50" i="1"/>
  <c r="BH50" i="1"/>
  <c r="BI50" i="1"/>
  <c r="BJ50" i="1"/>
  <c r="BK50" i="1"/>
  <c r="BL50" i="1"/>
  <c r="BM50" i="1"/>
  <c r="BN50" i="1"/>
  <c r="BO50" i="1"/>
  <c r="BP50" i="1"/>
  <c r="BQ50" i="1"/>
  <c r="BR50" i="1"/>
  <c r="BS50" i="1"/>
  <c r="BT50" i="1"/>
  <c r="BU50" i="1"/>
  <c r="BV50" i="1"/>
  <c r="BW50" i="1"/>
  <c r="BX50" i="1"/>
  <c r="BY50" i="1"/>
  <c r="BZ50" i="1"/>
  <c r="CA50" i="1"/>
  <c r="CB50" i="1"/>
  <c r="CC50" i="1"/>
  <c r="CD50" i="1"/>
  <c r="CE50" i="1"/>
  <c r="CF50" i="1"/>
  <c r="CG50" i="1"/>
  <c r="CH50" i="1"/>
  <c r="CI50" i="1"/>
  <c r="CJ50" i="1"/>
  <c r="CK50" i="1"/>
  <c r="CL50" i="1"/>
  <c r="CM50" i="1"/>
  <c r="CN50" i="1"/>
  <c r="CO50" i="1"/>
  <c r="CP50" i="1"/>
  <c r="CQ50" i="1"/>
  <c r="CR50" i="1"/>
  <c r="CS50" i="1"/>
  <c r="CT50" i="1"/>
  <c r="CU50" i="1"/>
  <c r="CV50" i="1"/>
  <c r="CW50" i="1"/>
  <c r="CX50" i="1"/>
  <c r="F50" i="1"/>
  <c r="E50" i="1"/>
  <c r="D50" i="1"/>
  <c r="B50" i="1"/>
  <c r="B57" i="1"/>
  <c r="A89" i="1" s="1"/>
  <c r="B56" i="1"/>
  <c r="E58" i="1"/>
  <c r="E90" i="1" s="1"/>
  <c r="F58" i="1"/>
  <c r="F90" i="1" s="1"/>
  <c r="G58" i="1"/>
  <c r="G90" i="1" s="1"/>
  <c r="H58" i="1"/>
  <c r="H90" i="1" s="1"/>
  <c r="I58" i="1"/>
  <c r="I90" i="1" s="1"/>
  <c r="J58" i="1"/>
  <c r="J90" i="1" s="1"/>
  <c r="K58" i="1"/>
  <c r="K90" i="1" s="1"/>
  <c r="L58" i="1"/>
  <c r="L90" i="1" s="1"/>
  <c r="M58" i="1"/>
  <c r="M90" i="1" s="1"/>
  <c r="N58" i="1"/>
  <c r="N90" i="1" s="1"/>
  <c r="O58" i="1"/>
  <c r="O90" i="1" s="1"/>
  <c r="P58" i="1"/>
  <c r="P90" i="1" s="1"/>
  <c r="Q58" i="1"/>
  <c r="Q90" i="1" s="1"/>
  <c r="R58" i="1"/>
  <c r="R90" i="1" s="1"/>
  <c r="S58" i="1"/>
  <c r="S90" i="1" s="1"/>
  <c r="T58" i="1"/>
  <c r="T90" i="1" s="1"/>
  <c r="U58" i="1"/>
  <c r="U90" i="1" s="1"/>
  <c r="V58" i="1"/>
  <c r="V90" i="1" s="1"/>
  <c r="W58" i="1"/>
  <c r="W90" i="1" s="1"/>
  <c r="X58" i="1"/>
  <c r="X90" i="1" s="1"/>
  <c r="Y58" i="1"/>
  <c r="Y90" i="1" s="1"/>
  <c r="Z58" i="1"/>
  <c r="Z90" i="1" s="1"/>
  <c r="AA58" i="1"/>
  <c r="AA90" i="1" s="1"/>
  <c r="AB58" i="1"/>
  <c r="AB90" i="1" s="1"/>
  <c r="AC58" i="1"/>
  <c r="AC90" i="1" s="1"/>
  <c r="AD58" i="1"/>
  <c r="AD90" i="1" s="1"/>
  <c r="AE58" i="1"/>
  <c r="AE90" i="1" s="1"/>
  <c r="AF58" i="1"/>
  <c r="AF90" i="1" s="1"/>
  <c r="AG58" i="1"/>
  <c r="AG90" i="1" s="1"/>
  <c r="AH58" i="1"/>
  <c r="AH90" i="1" s="1"/>
  <c r="AI58" i="1"/>
  <c r="AI90" i="1" s="1"/>
  <c r="AJ58" i="1"/>
  <c r="AJ90" i="1" s="1"/>
  <c r="AK58" i="1"/>
  <c r="AK90" i="1" s="1"/>
  <c r="AL58" i="1"/>
  <c r="AL90" i="1" s="1"/>
  <c r="AM58" i="1"/>
  <c r="AM90" i="1" s="1"/>
  <c r="AN58" i="1"/>
  <c r="AN90" i="1" s="1"/>
  <c r="AO58" i="1"/>
  <c r="AO90" i="1" s="1"/>
  <c r="AP58" i="1"/>
  <c r="AP90" i="1" s="1"/>
  <c r="AQ58" i="1"/>
  <c r="AQ90" i="1" s="1"/>
  <c r="AR58" i="1"/>
  <c r="AR90" i="1" s="1"/>
  <c r="AS58" i="1"/>
  <c r="AS90" i="1" s="1"/>
  <c r="AT58" i="1"/>
  <c r="AT90" i="1" s="1"/>
  <c r="AU58" i="1"/>
  <c r="AU90" i="1" s="1"/>
  <c r="AV58" i="1"/>
  <c r="AV90" i="1" s="1"/>
  <c r="AW58" i="1"/>
  <c r="AW90" i="1" s="1"/>
  <c r="AX58" i="1"/>
  <c r="AX90" i="1" s="1"/>
  <c r="AY58" i="1"/>
  <c r="AY90" i="1" s="1"/>
  <c r="AZ58" i="1"/>
  <c r="AZ90" i="1" s="1"/>
  <c r="BA58" i="1"/>
  <c r="BA90" i="1" s="1"/>
  <c r="BB58" i="1"/>
  <c r="BB90" i="1" s="1"/>
  <c r="BC58" i="1"/>
  <c r="BC90" i="1" s="1"/>
  <c r="BD58" i="1"/>
  <c r="BD90" i="1" s="1"/>
  <c r="BE58" i="1"/>
  <c r="BE90" i="1" s="1"/>
  <c r="BF58" i="1"/>
  <c r="BF90" i="1" s="1"/>
  <c r="BG58" i="1"/>
  <c r="BG90" i="1" s="1"/>
  <c r="BH58" i="1"/>
  <c r="BH90" i="1" s="1"/>
  <c r="BI58" i="1"/>
  <c r="BI90" i="1" s="1"/>
  <c r="BJ58" i="1"/>
  <c r="BJ90" i="1" s="1"/>
  <c r="BK58" i="1"/>
  <c r="BK90" i="1" s="1"/>
  <c r="BL58" i="1"/>
  <c r="BL90" i="1" s="1"/>
  <c r="BM58" i="1"/>
  <c r="BM90" i="1" s="1"/>
  <c r="BN58" i="1"/>
  <c r="BN90" i="1" s="1"/>
  <c r="BO58" i="1"/>
  <c r="BO90" i="1" s="1"/>
  <c r="BP58" i="1"/>
  <c r="BP90" i="1" s="1"/>
  <c r="BQ58" i="1"/>
  <c r="BQ90" i="1" s="1"/>
  <c r="BR58" i="1"/>
  <c r="BR90" i="1" s="1"/>
  <c r="BS58" i="1"/>
  <c r="BS90" i="1" s="1"/>
  <c r="BT58" i="1"/>
  <c r="BT90" i="1" s="1"/>
  <c r="BU58" i="1"/>
  <c r="BU90" i="1" s="1"/>
  <c r="BV58" i="1"/>
  <c r="BV90" i="1" s="1"/>
  <c r="BW58" i="1"/>
  <c r="BW90" i="1" s="1"/>
  <c r="BX58" i="1"/>
  <c r="BX90" i="1" s="1"/>
  <c r="BY58" i="1"/>
  <c r="BY90" i="1" s="1"/>
  <c r="BZ58" i="1"/>
  <c r="BZ90" i="1" s="1"/>
  <c r="CA58" i="1"/>
  <c r="CA90" i="1" s="1"/>
  <c r="CB58" i="1"/>
  <c r="CB90" i="1" s="1"/>
  <c r="CC58" i="1"/>
  <c r="CC90" i="1" s="1"/>
  <c r="CD58" i="1"/>
  <c r="CD90" i="1" s="1"/>
  <c r="CE58" i="1"/>
  <c r="CE90" i="1" s="1"/>
  <c r="CF58" i="1"/>
  <c r="CF90" i="1" s="1"/>
  <c r="CG58" i="1"/>
  <c r="CG90" i="1" s="1"/>
  <c r="CH58" i="1"/>
  <c r="CH90" i="1" s="1"/>
  <c r="CI58" i="1"/>
  <c r="CI90" i="1" s="1"/>
  <c r="CJ58" i="1"/>
  <c r="CJ90" i="1" s="1"/>
  <c r="CK58" i="1"/>
  <c r="CK90" i="1" s="1"/>
  <c r="CL58" i="1"/>
  <c r="CL90" i="1" s="1"/>
  <c r="CM58" i="1"/>
  <c r="CM90" i="1" s="1"/>
  <c r="CN58" i="1"/>
  <c r="CN90" i="1" s="1"/>
  <c r="CO58" i="1"/>
  <c r="CO90" i="1" s="1"/>
  <c r="CP58" i="1"/>
  <c r="CP90" i="1" s="1"/>
  <c r="CQ58" i="1"/>
  <c r="CQ90" i="1" s="1"/>
  <c r="CR58" i="1"/>
  <c r="CR90" i="1" s="1"/>
  <c r="CS58" i="1"/>
  <c r="CS90" i="1" s="1"/>
  <c r="CT58" i="1"/>
  <c r="CT90" i="1" s="1"/>
  <c r="CU58" i="1"/>
  <c r="CU90" i="1" s="1"/>
  <c r="CV58" i="1"/>
  <c r="CV90" i="1" s="1"/>
  <c r="CW58" i="1"/>
  <c r="CW90" i="1" s="1"/>
  <c r="CX58" i="1"/>
  <c r="CX90" i="1" s="1"/>
  <c r="CY58" i="1"/>
  <c r="CY90" i="1" s="1"/>
  <c r="D58" i="1"/>
  <c r="D90" i="1" s="1"/>
  <c r="T57" i="1"/>
  <c r="T89" i="1" s="1"/>
  <c r="U57" i="1"/>
  <c r="U89" i="1" s="1"/>
  <c r="V57" i="1"/>
  <c r="V89" i="1" s="1"/>
  <c r="W57" i="1"/>
  <c r="W89" i="1" s="1"/>
  <c r="X57" i="1"/>
  <c r="X89" i="1" s="1"/>
  <c r="Y57" i="1"/>
  <c r="Y89" i="1" s="1"/>
  <c r="Z57" i="1"/>
  <c r="Z89" i="1" s="1"/>
  <c r="AA57" i="1"/>
  <c r="AA89" i="1" s="1"/>
  <c r="AB57" i="1"/>
  <c r="AB89" i="1" s="1"/>
  <c r="AC57" i="1"/>
  <c r="AC89" i="1" s="1"/>
  <c r="AD57" i="1"/>
  <c r="AD89" i="1" s="1"/>
  <c r="AE57" i="1"/>
  <c r="AE89" i="1" s="1"/>
  <c r="AF57" i="1"/>
  <c r="AF89" i="1" s="1"/>
  <c r="AG57" i="1"/>
  <c r="AG89" i="1" s="1"/>
  <c r="AH57" i="1"/>
  <c r="AH89" i="1" s="1"/>
  <c r="AI57" i="1"/>
  <c r="AI89" i="1" s="1"/>
  <c r="AJ57" i="1"/>
  <c r="AJ89" i="1" s="1"/>
  <c r="AK57" i="1"/>
  <c r="AK89" i="1" s="1"/>
  <c r="AL57" i="1"/>
  <c r="AL89" i="1" s="1"/>
  <c r="AM57" i="1"/>
  <c r="AM89" i="1" s="1"/>
  <c r="AN57" i="1"/>
  <c r="AN89" i="1" s="1"/>
  <c r="AO57" i="1"/>
  <c r="AO89" i="1" s="1"/>
  <c r="AP57" i="1"/>
  <c r="AP89" i="1" s="1"/>
  <c r="AQ57" i="1"/>
  <c r="AQ89" i="1" s="1"/>
  <c r="AR57" i="1"/>
  <c r="AR89" i="1" s="1"/>
  <c r="AS57" i="1"/>
  <c r="AS89" i="1" s="1"/>
  <c r="AT57" i="1"/>
  <c r="AT89" i="1" s="1"/>
  <c r="AU57" i="1"/>
  <c r="AU89" i="1" s="1"/>
  <c r="AV57" i="1"/>
  <c r="AV89" i="1" s="1"/>
  <c r="AW57" i="1"/>
  <c r="AW89" i="1" s="1"/>
  <c r="AX57" i="1"/>
  <c r="AX89" i="1" s="1"/>
  <c r="AY57" i="1"/>
  <c r="AY89" i="1" s="1"/>
  <c r="AZ57" i="1"/>
  <c r="AZ89" i="1" s="1"/>
  <c r="BA57" i="1"/>
  <c r="BA89" i="1" s="1"/>
  <c r="BB57" i="1"/>
  <c r="BB89" i="1" s="1"/>
  <c r="BC57" i="1"/>
  <c r="BC89" i="1" s="1"/>
  <c r="BD57" i="1"/>
  <c r="BD89" i="1" s="1"/>
  <c r="BE57" i="1"/>
  <c r="BE89" i="1" s="1"/>
  <c r="BF57" i="1"/>
  <c r="BF89" i="1" s="1"/>
  <c r="BG57" i="1"/>
  <c r="BG89" i="1" s="1"/>
  <c r="BH57" i="1"/>
  <c r="BH89" i="1" s="1"/>
  <c r="BI57" i="1"/>
  <c r="BI89" i="1" s="1"/>
  <c r="BJ57" i="1"/>
  <c r="BJ89" i="1" s="1"/>
  <c r="BK57" i="1"/>
  <c r="BK89" i="1" s="1"/>
  <c r="BL57" i="1"/>
  <c r="BL89" i="1" s="1"/>
  <c r="BM57" i="1"/>
  <c r="BM89" i="1" s="1"/>
  <c r="BN57" i="1"/>
  <c r="BN89" i="1" s="1"/>
  <c r="BO57" i="1"/>
  <c r="BO89" i="1" s="1"/>
  <c r="BP57" i="1"/>
  <c r="BP89" i="1" s="1"/>
  <c r="BQ57" i="1"/>
  <c r="BQ89" i="1" s="1"/>
  <c r="BR57" i="1"/>
  <c r="BR89" i="1" s="1"/>
  <c r="BS57" i="1"/>
  <c r="BS89" i="1" s="1"/>
  <c r="BT57" i="1"/>
  <c r="BT89" i="1" s="1"/>
  <c r="BU57" i="1"/>
  <c r="BU89" i="1" s="1"/>
  <c r="BV57" i="1"/>
  <c r="BV89" i="1" s="1"/>
  <c r="BW57" i="1"/>
  <c r="BW89" i="1" s="1"/>
  <c r="BX57" i="1"/>
  <c r="BX89" i="1" s="1"/>
  <c r="BY57" i="1"/>
  <c r="BY89" i="1" s="1"/>
  <c r="BZ57" i="1"/>
  <c r="BZ89" i="1" s="1"/>
  <c r="CA57" i="1"/>
  <c r="CA89" i="1" s="1"/>
  <c r="CB57" i="1"/>
  <c r="CB89" i="1" s="1"/>
  <c r="CC57" i="1"/>
  <c r="CC89" i="1" s="1"/>
  <c r="CD57" i="1"/>
  <c r="CD89" i="1" s="1"/>
  <c r="CE57" i="1"/>
  <c r="CE89" i="1" s="1"/>
  <c r="CF57" i="1"/>
  <c r="CF89" i="1" s="1"/>
  <c r="CG57" i="1"/>
  <c r="CG89" i="1" s="1"/>
  <c r="CH57" i="1"/>
  <c r="CH89" i="1" s="1"/>
  <c r="CI57" i="1"/>
  <c r="CI89" i="1" s="1"/>
  <c r="CJ57" i="1"/>
  <c r="CJ89" i="1" s="1"/>
  <c r="CK57" i="1"/>
  <c r="CK89" i="1" s="1"/>
  <c r="CL57" i="1"/>
  <c r="CL89" i="1" s="1"/>
  <c r="CM57" i="1"/>
  <c r="CM89" i="1" s="1"/>
  <c r="CN57" i="1"/>
  <c r="CN89" i="1" s="1"/>
  <c r="CO57" i="1"/>
  <c r="CO89" i="1" s="1"/>
  <c r="CP57" i="1"/>
  <c r="CP89" i="1" s="1"/>
  <c r="CQ57" i="1"/>
  <c r="CQ89" i="1" s="1"/>
  <c r="CR57" i="1"/>
  <c r="CR89" i="1" s="1"/>
  <c r="CS57" i="1"/>
  <c r="CS89" i="1" s="1"/>
  <c r="CT57" i="1"/>
  <c r="CT89" i="1" s="1"/>
  <c r="CU57" i="1"/>
  <c r="CU89" i="1" s="1"/>
  <c r="CV57" i="1"/>
  <c r="CV89" i="1" s="1"/>
  <c r="CW57" i="1"/>
  <c r="CW89" i="1" s="1"/>
  <c r="CX57" i="1"/>
  <c r="CX89" i="1" s="1"/>
  <c r="CY57" i="1"/>
  <c r="CY89" i="1" s="1"/>
  <c r="S57" i="1"/>
  <c r="S89" i="1" s="1"/>
  <c r="G57" i="1"/>
  <c r="G89" i="1" s="1"/>
  <c r="H57" i="1"/>
  <c r="H89" i="1" s="1"/>
  <c r="I57" i="1"/>
  <c r="I89" i="1" s="1"/>
  <c r="J57" i="1"/>
  <c r="J89" i="1" s="1"/>
  <c r="K57" i="1"/>
  <c r="K89" i="1" s="1"/>
  <c r="L57" i="1"/>
  <c r="L89" i="1" s="1"/>
  <c r="M57" i="1"/>
  <c r="M89" i="1" s="1"/>
  <c r="N57" i="1"/>
  <c r="N89" i="1" s="1"/>
  <c r="O57" i="1"/>
  <c r="O89" i="1" s="1"/>
  <c r="P57" i="1"/>
  <c r="P89" i="1" s="1"/>
  <c r="Q57" i="1"/>
  <c r="Q89" i="1" s="1"/>
  <c r="R57" i="1"/>
  <c r="R89" i="1" s="1"/>
  <c r="E57" i="1"/>
  <c r="E89" i="1" s="1"/>
  <c r="F57" i="1"/>
  <c r="F89" i="1" s="1"/>
  <c r="D57" i="1"/>
  <c r="D89" i="1" s="1"/>
  <c r="N56" i="1"/>
  <c r="O56" i="1"/>
  <c r="P56" i="1"/>
  <c r="Q56" i="1"/>
  <c r="R56" i="1"/>
  <c r="S56" i="1"/>
  <c r="T56" i="1"/>
  <c r="U56" i="1"/>
  <c r="V56" i="1"/>
  <c r="W56" i="1"/>
  <c r="X56" i="1"/>
  <c r="Y56" i="1"/>
  <c r="Z56" i="1"/>
  <c r="AA56" i="1"/>
  <c r="AB56" i="1"/>
  <c r="AC56" i="1"/>
  <c r="AD56" i="1"/>
  <c r="AE56" i="1"/>
  <c r="AF56" i="1"/>
  <c r="AG56" i="1"/>
  <c r="AH56" i="1"/>
  <c r="AI56" i="1"/>
  <c r="AJ56" i="1"/>
  <c r="AK56" i="1"/>
  <c r="AL56" i="1"/>
  <c r="AM56" i="1"/>
  <c r="AN56" i="1"/>
  <c r="AO56" i="1"/>
  <c r="AP56" i="1"/>
  <c r="AQ56" i="1"/>
  <c r="AR56" i="1"/>
  <c r="AS56" i="1"/>
  <c r="AT56" i="1"/>
  <c r="AU56" i="1"/>
  <c r="AV56" i="1"/>
  <c r="AW56" i="1"/>
  <c r="AX56" i="1"/>
  <c r="AY56" i="1"/>
  <c r="AZ56" i="1"/>
  <c r="BA56" i="1"/>
  <c r="BB56" i="1"/>
  <c r="BC56" i="1"/>
  <c r="BD56" i="1"/>
  <c r="BE56" i="1"/>
  <c r="BF56" i="1"/>
  <c r="BG56" i="1"/>
  <c r="BH56" i="1"/>
  <c r="BI56" i="1"/>
  <c r="BJ56" i="1"/>
  <c r="BK56" i="1"/>
  <c r="BL56" i="1"/>
  <c r="BM56" i="1"/>
  <c r="BN56" i="1"/>
  <c r="BO56" i="1"/>
  <c r="BP56" i="1"/>
  <c r="BQ56" i="1"/>
  <c r="BR56" i="1"/>
  <c r="BS56" i="1"/>
  <c r="BT56" i="1"/>
  <c r="BU56" i="1"/>
  <c r="BV56" i="1"/>
  <c r="BW56" i="1"/>
  <c r="BX56" i="1"/>
  <c r="BY56" i="1"/>
  <c r="BZ56" i="1"/>
  <c r="CA56" i="1"/>
  <c r="CB56" i="1"/>
  <c r="CC56" i="1"/>
  <c r="CD56" i="1"/>
  <c r="CE56" i="1"/>
  <c r="CF56" i="1"/>
  <c r="CG56" i="1"/>
  <c r="CH56" i="1"/>
  <c r="CI56" i="1"/>
  <c r="CJ56" i="1"/>
  <c r="CK56" i="1"/>
  <c r="CL56" i="1"/>
  <c r="CM56" i="1"/>
  <c r="CN56" i="1"/>
  <c r="CO56" i="1"/>
  <c r="CP56" i="1"/>
  <c r="CQ56" i="1"/>
  <c r="CR56" i="1"/>
  <c r="CS56" i="1"/>
  <c r="CT56" i="1"/>
  <c r="CU56" i="1"/>
  <c r="CV56" i="1"/>
  <c r="CW56" i="1"/>
  <c r="CX56" i="1"/>
  <c r="CY56" i="1"/>
  <c r="F56" i="1"/>
  <c r="G56" i="1"/>
  <c r="H56" i="1"/>
  <c r="I56" i="1"/>
  <c r="J56" i="1"/>
  <c r="K56" i="1"/>
  <c r="L56" i="1"/>
  <c r="M56" i="1"/>
  <c r="E56" i="1"/>
  <c r="D56" i="1"/>
  <c r="C90" i="1" l="1"/>
  <c r="B58" i="1"/>
  <c r="A90" i="1" s="1"/>
  <c r="K144" i="10"/>
  <c r="K164" i="10"/>
  <c r="K127" i="10"/>
  <c r="P157" i="10"/>
  <c r="P158" i="10"/>
  <c r="P159" i="10"/>
  <c r="P160" i="10"/>
  <c r="P161" i="10"/>
  <c r="P162" i="10"/>
  <c r="P156" i="10"/>
  <c r="P150" i="10"/>
  <c r="P151" i="10"/>
  <c r="P152" i="10"/>
  <c r="P153" i="10"/>
  <c r="P154" i="10"/>
  <c r="P149" i="10"/>
  <c r="P137" i="10"/>
  <c r="P138" i="10"/>
  <c r="P139" i="10"/>
  <c r="P140" i="10"/>
  <c r="P141" i="10"/>
  <c r="P142" i="10"/>
  <c r="P136" i="10"/>
  <c r="P133" i="10"/>
  <c r="P134" i="10"/>
  <c r="P132" i="10"/>
  <c r="P118" i="10"/>
  <c r="P119" i="10"/>
  <c r="P120" i="10"/>
  <c r="P121" i="10"/>
  <c r="P122" i="10"/>
  <c r="P123" i="10"/>
  <c r="P124" i="10"/>
  <c r="P125" i="10"/>
  <c r="P126" i="10"/>
  <c r="P117" i="10"/>
  <c r="P148" i="10"/>
  <c r="P147" i="10"/>
  <c r="P131" i="10"/>
  <c r="P130" i="10"/>
  <c r="P116" i="10"/>
  <c r="P115" i="10"/>
  <c r="R115" i="10"/>
  <c r="V115" i="10"/>
  <c r="Q116" i="10"/>
  <c r="R116" i="10"/>
  <c r="Q117" i="10"/>
  <c r="R117" i="10"/>
  <c r="Q118" i="10"/>
  <c r="R118" i="10"/>
  <c r="Q119" i="10"/>
  <c r="R119" i="10"/>
  <c r="Q120" i="10"/>
  <c r="R120" i="10"/>
  <c r="Q121" i="10"/>
  <c r="R121" i="10"/>
  <c r="Q122" i="10"/>
  <c r="R122" i="10"/>
  <c r="Q123" i="10"/>
  <c r="R123" i="10"/>
  <c r="Q124" i="10"/>
  <c r="R124" i="10"/>
  <c r="Q125" i="10"/>
  <c r="R125" i="10"/>
  <c r="Q126" i="10"/>
  <c r="R126" i="10"/>
  <c r="R130" i="10"/>
  <c r="Q131" i="10"/>
  <c r="R131" i="10"/>
  <c r="Q132" i="10"/>
  <c r="R132" i="10"/>
  <c r="Q133" i="10"/>
  <c r="R133" i="10"/>
  <c r="Q134" i="10"/>
  <c r="R134" i="10"/>
  <c r="Q136" i="10"/>
  <c r="R136" i="10"/>
  <c r="Q137" i="10"/>
  <c r="R137" i="10"/>
  <c r="Q138" i="10"/>
  <c r="R138" i="10"/>
  <c r="Q139" i="10"/>
  <c r="R139" i="10"/>
  <c r="Q140" i="10"/>
  <c r="R140" i="10"/>
  <c r="Q141" i="10"/>
  <c r="R141" i="10"/>
  <c r="Q142" i="10"/>
  <c r="R142" i="10"/>
  <c r="R147" i="10"/>
  <c r="V147" i="10"/>
  <c r="Q148" i="10"/>
  <c r="R148" i="10"/>
  <c r="Q149" i="10"/>
  <c r="R149" i="10"/>
  <c r="Q150" i="10"/>
  <c r="R150" i="10"/>
  <c r="Q151" i="10"/>
  <c r="R151" i="10"/>
  <c r="Q152" i="10"/>
  <c r="R152" i="10"/>
  <c r="Q153" i="10"/>
  <c r="R153" i="10"/>
  <c r="Q154" i="10"/>
  <c r="R154" i="10"/>
  <c r="Q156" i="10"/>
  <c r="R156" i="10"/>
  <c r="Q157" i="10"/>
  <c r="R157" i="10"/>
  <c r="Q158" i="10"/>
  <c r="R158" i="10"/>
  <c r="Q159" i="10"/>
  <c r="R159" i="10"/>
  <c r="Q160" i="10"/>
  <c r="R160" i="10"/>
  <c r="Q161" i="10"/>
  <c r="R161" i="10"/>
  <c r="Q162" i="10"/>
  <c r="R162" i="10"/>
  <c r="P163" i="10" l="1"/>
  <c r="P155" i="10"/>
  <c r="P143" i="10"/>
  <c r="R155" i="10"/>
  <c r="P135" i="10"/>
  <c r="R163" i="10"/>
  <c r="R143" i="10"/>
  <c r="R135" i="10"/>
  <c r="R127" i="10"/>
  <c r="P127" i="10"/>
  <c r="Q163" i="10"/>
  <c r="Q155" i="10"/>
  <c r="Q127" i="10"/>
  <c r="Q143" i="10"/>
  <c r="Q135" i="10"/>
  <c r="R164" i="10" l="1"/>
  <c r="Q164" i="10"/>
  <c r="P164" i="10"/>
  <c r="Q144" i="10"/>
  <c r="P144" i="10"/>
  <c r="R144" i="10"/>
  <c r="N147" i="10" l="1"/>
  <c r="S147" i="10" s="1"/>
  <c r="N130" i="10"/>
  <c r="S130" i="10" s="1"/>
  <c r="N115" i="10"/>
  <c r="S115" i="10" s="1"/>
  <c r="O162" i="10"/>
  <c r="S162" i="10" s="1"/>
  <c r="O161" i="10"/>
  <c r="S161" i="10" s="1"/>
  <c r="O160" i="10"/>
  <c r="S160" i="10" s="1"/>
  <c r="O159" i="10"/>
  <c r="S159" i="10" s="1"/>
  <c r="O158" i="10"/>
  <c r="S158" i="10" s="1"/>
  <c r="O157" i="10"/>
  <c r="S157" i="10" s="1"/>
  <c r="O156" i="10"/>
  <c r="S156" i="10" s="1"/>
  <c r="S154" i="10"/>
  <c r="W154" i="10" s="1"/>
  <c r="S153" i="10"/>
  <c r="W153" i="10" s="1"/>
  <c r="S152" i="10"/>
  <c r="W152" i="10" s="1"/>
  <c r="S151" i="10"/>
  <c r="W151" i="10" s="1"/>
  <c r="S150" i="10"/>
  <c r="W150" i="10" s="1"/>
  <c r="S149" i="10"/>
  <c r="W149" i="10" s="1"/>
  <c r="O148" i="10"/>
  <c r="S148" i="10" s="1"/>
  <c r="O142" i="10"/>
  <c r="S142" i="10" s="1"/>
  <c r="O141" i="10"/>
  <c r="S141" i="10" s="1"/>
  <c r="O140" i="10"/>
  <c r="S140" i="10" s="1"/>
  <c r="O139" i="10"/>
  <c r="S139" i="10" s="1"/>
  <c r="O138" i="10"/>
  <c r="S138" i="10" s="1"/>
  <c r="O137" i="10"/>
  <c r="S137" i="10" s="1"/>
  <c r="O136" i="10"/>
  <c r="S136" i="10" s="1"/>
  <c r="S134" i="10"/>
  <c r="W134" i="10" s="1"/>
  <c r="S133" i="10"/>
  <c r="W133" i="10" s="1"/>
  <c r="S132" i="10"/>
  <c r="W132" i="10" s="1"/>
  <c r="O131" i="10"/>
  <c r="S131" i="10" s="1"/>
  <c r="O126" i="10"/>
  <c r="S126" i="10" s="1"/>
  <c r="O125" i="10"/>
  <c r="S125" i="10" s="1"/>
  <c r="O124" i="10"/>
  <c r="S124" i="10" s="1"/>
  <c r="O123" i="10"/>
  <c r="S123" i="10" s="1"/>
  <c r="O122" i="10"/>
  <c r="S122" i="10" s="1"/>
  <c r="O121" i="10"/>
  <c r="S121" i="10" s="1"/>
  <c r="O120" i="10"/>
  <c r="S120" i="10" s="1"/>
  <c r="S119" i="10"/>
  <c r="O118" i="10"/>
  <c r="S118" i="10" s="1"/>
  <c r="O117" i="10"/>
  <c r="S117" i="10" s="1"/>
  <c r="O116" i="10"/>
  <c r="S116" i="10" s="1"/>
  <c r="T115" i="10" l="1"/>
  <c r="T116" i="10" s="1"/>
  <c r="X115" i="10"/>
  <c r="W115" i="10"/>
  <c r="T147" i="10"/>
  <c r="T148" i="10" s="1"/>
  <c r="W147" i="10"/>
  <c r="X147" i="10"/>
  <c r="T130" i="10"/>
  <c r="T131" i="10" s="1"/>
  <c r="X130" i="10"/>
  <c r="W130" i="10"/>
  <c r="S163" i="10"/>
  <c r="W131" i="10"/>
  <c r="S135" i="10"/>
  <c r="W148" i="10"/>
  <c r="S155" i="10"/>
  <c r="S143" i="10"/>
  <c r="W116" i="10"/>
  <c r="S127" i="10"/>
  <c r="N127" i="10"/>
  <c r="I35" i="10"/>
  <c r="I34" i="10"/>
  <c r="Z66" i="10"/>
  <c r="BK19" i="1" l="1"/>
  <c r="AQ19" i="1"/>
  <c r="W135" i="10"/>
  <c r="W155" i="10"/>
  <c r="S164" i="10"/>
  <c r="S144" i="10"/>
  <c r="T149" i="10"/>
  <c r="X148" i="10"/>
  <c r="T132" i="10"/>
  <c r="X131" i="10"/>
  <c r="X116" i="10"/>
  <c r="T117" i="10"/>
  <c r="CE19" i="1"/>
  <c r="T118" i="10" l="1"/>
  <c r="T133" i="10"/>
  <c r="X132" i="10"/>
  <c r="X149" i="10"/>
  <c r="T150" i="10"/>
  <c r="B30" i="10"/>
  <c r="H22" i="10"/>
  <c r="I22" i="10" s="1"/>
  <c r="X150" i="10" l="1"/>
  <c r="T151" i="10"/>
  <c r="X133" i="10"/>
  <c r="T134" i="10"/>
  <c r="T119" i="10"/>
  <c r="T120" i="10" l="1"/>
  <c r="X134" i="10"/>
  <c r="X135" i="10" s="1"/>
  <c r="T136" i="10"/>
  <c r="T135" i="10"/>
  <c r="T152" i="10"/>
  <c r="X151" i="10"/>
  <c r="T153" i="10" l="1"/>
  <c r="X152" i="10"/>
  <c r="T137" i="10"/>
  <c r="T121" i="10"/>
  <c r="C32" i="10"/>
  <c r="C31" i="10" s="1"/>
  <c r="H32" i="10"/>
  <c r="I32" i="10"/>
  <c r="BK18" i="1" s="1"/>
  <c r="T122" i="10" l="1"/>
  <c r="T138" i="10"/>
  <c r="T154" i="10"/>
  <c r="X153" i="10"/>
  <c r="T155" i="10" l="1"/>
  <c r="X154" i="10"/>
  <c r="X155" i="10" s="1"/>
  <c r="T156" i="10"/>
  <c r="T139" i="10"/>
  <c r="T123" i="10"/>
  <c r="G17" i="9"/>
  <c r="H72" i="10"/>
  <c r="T124" i="10" l="1"/>
  <c r="T140" i="10"/>
  <c r="T157" i="10"/>
  <c r="X66" i="10"/>
  <c r="AA59" i="10"/>
  <c r="AO10" i="1" s="1"/>
  <c r="T158" i="10" l="1"/>
  <c r="T141" i="10"/>
  <c r="T125" i="10"/>
  <c r="J3" i="12"/>
  <c r="K3" i="12" s="1"/>
  <c r="D52" i="1" s="1"/>
  <c r="T126" i="10" l="1"/>
  <c r="T142" i="10"/>
  <c r="T159" i="10"/>
  <c r="I103" i="10"/>
  <c r="B45" i="10"/>
  <c r="T160" i="10" l="1"/>
  <c r="T143" i="10"/>
  <c r="T144" i="10" s="1"/>
  <c r="T127" i="10"/>
  <c r="H31" i="1"/>
  <c r="I31" i="1"/>
  <c r="J31" i="1"/>
  <c r="K31" i="1"/>
  <c r="L31" i="1"/>
  <c r="M31" i="1"/>
  <c r="N31" i="1"/>
  <c r="O31" i="1"/>
  <c r="P31" i="1"/>
  <c r="Q31" i="1"/>
  <c r="R31" i="1"/>
  <c r="S31" i="1"/>
  <c r="T31" i="1"/>
  <c r="V31" i="1"/>
  <c r="X31" i="1"/>
  <c r="Y31" i="1"/>
  <c r="AA31" i="1"/>
  <c r="AC31" i="1"/>
  <c r="AD31" i="1"/>
  <c r="AF31" i="1"/>
  <c r="AI31" i="1"/>
  <c r="AK31" i="1"/>
  <c r="AN31" i="1"/>
  <c r="AS31" i="1"/>
  <c r="AT31" i="1"/>
  <c r="AU31" i="1"/>
  <c r="AX31" i="1"/>
  <c r="AY31" i="1"/>
  <c r="AZ31" i="1"/>
  <c r="BC31" i="1"/>
  <c r="BD31" i="1"/>
  <c r="BE31" i="1"/>
  <c r="BH31" i="1"/>
  <c r="BI31" i="1"/>
  <c r="BJ31" i="1"/>
  <c r="BO31" i="1"/>
  <c r="BR31" i="1"/>
  <c r="BS31" i="1"/>
  <c r="BT31" i="1"/>
  <c r="BW31" i="1"/>
  <c r="BX31" i="1"/>
  <c r="BY31" i="1"/>
  <c r="CF31" i="1"/>
  <c r="CG31" i="1"/>
  <c r="CH31" i="1"/>
  <c r="CI31" i="1"/>
  <c r="CK31" i="1"/>
  <c r="CL31" i="1"/>
  <c r="CM31" i="1"/>
  <c r="CN31" i="1"/>
  <c r="CP31" i="1"/>
  <c r="CQ31" i="1"/>
  <c r="CR31" i="1"/>
  <c r="CU31" i="1"/>
  <c r="CV31" i="1"/>
  <c r="CW31" i="1"/>
  <c r="CX31" i="1"/>
  <c r="T161" i="10" l="1"/>
  <c r="B68" i="10"/>
  <c r="B64" i="10"/>
  <c r="T62" i="10"/>
  <c r="S62" i="10"/>
  <c r="R62" i="10"/>
  <c r="M62" i="10"/>
  <c r="V3" i="12"/>
  <c r="E161" i="8"/>
  <c r="E105" i="8"/>
  <c r="E89" i="8"/>
  <c r="E167" i="8"/>
  <c r="E159" i="8"/>
  <c r="E135" i="8"/>
  <c r="E127" i="8"/>
  <c r="E103" i="8"/>
  <c r="E95" i="8"/>
  <c r="E70" i="8"/>
  <c r="E82" i="8"/>
  <c r="E86" i="8"/>
  <c r="E98" i="8"/>
  <c r="E102" i="8"/>
  <c r="E114" i="8"/>
  <c r="E118" i="8"/>
  <c r="E130" i="8"/>
  <c r="E134" i="8"/>
  <c r="E146" i="8"/>
  <c r="E150" i="8"/>
  <c r="E162" i="8"/>
  <c r="E166" i="8"/>
  <c r="E80" i="8"/>
  <c r="E84" i="8"/>
  <c r="E96" i="8"/>
  <c r="E100" i="8"/>
  <c r="E112" i="8"/>
  <c r="E116" i="8"/>
  <c r="E128" i="8"/>
  <c r="E132" i="8"/>
  <c r="E144" i="8"/>
  <c r="E148" i="8"/>
  <c r="E160" i="8"/>
  <c r="E164" i="8"/>
  <c r="E129" i="8"/>
  <c r="E113" i="8"/>
  <c r="E165" i="8"/>
  <c r="E149" i="8"/>
  <c r="E141" i="8"/>
  <c r="E133" i="8"/>
  <c r="E117" i="8"/>
  <c r="E109" i="8"/>
  <c r="E101" i="8"/>
  <c r="E85" i="8"/>
  <c r="E77" i="8"/>
  <c r="E69" i="8"/>
  <c r="E163" i="8"/>
  <c r="E147" i="8"/>
  <c r="E139" i="8"/>
  <c r="E131" i="8"/>
  <c r="E115" i="8"/>
  <c r="E107" i="8"/>
  <c r="E99" i="8"/>
  <c r="E83" i="8"/>
  <c r="E75" i="8"/>
  <c r="D78" i="1"/>
  <c r="CY53" i="1"/>
  <c r="AQ78" i="1"/>
  <c r="AR78" i="1"/>
  <c r="AS78" i="1"/>
  <c r="AT78" i="1"/>
  <c r="AU78" i="1"/>
  <c r="AV78" i="1"/>
  <c r="AW78" i="1"/>
  <c r="AX78" i="1"/>
  <c r="AY78" i="1"/>
  <c r="AZ78" i="1"/>
  <c r="BA78" i="1"/>
  <c r="BB78" i="1"/>
  <c r="BC78" i="1"/>
  <c r="BD78" i="1"/>
  <c r="BE78" i="1"/>
  <c r="BF78" i="1"/>
  <c r="BG78" i="1"/>
  <c r="BH78" i="1"/>
  <c r="BI78" i="1"/>
  <c r="BJ78" i="1"/>
  <c r="BK78" i="1"/>
  <c r="BL78" i="1"/>
  <c r="BM78" i="1"/>
  <c r="BN78" i="1"/>
  <c r="BO78" i="1"/>
  <c r="BP78" i="1"/>
  <c r="BQ78" i="1"/>
  <c r="BR78" i="1"/>
  <c r="BS78" i="1"/>
  <c r="BT78" i="1"/>
  <c r="BU78" i="1"/>
  <c r="BV78" i="1"/>
  <c r="BW78" i="1"/>
  <c r="BX78" i="1"/>
  <c r="BY78" i="1"/>
  <c r="BZ78" i="1"/>
  <c r="CA78" i="1"/>
  <c r="CB78" i="1"/>
  <c r="CC78" i="1"/>
  <c r="CD78" i="1"/>
  <c r="CE78" i="1"/>
  <c r="CF78" i="1"/>
  <c r="CG78" i="1"/>
  <c r="CH78" i="1"/>
  <c r="CI78" i="1"/>
  <c r="CJ78" i="1"/>
  <c r="CK78" i="1"/>
  <c r="CL78" i="1"/>
  <c r="CM78" i="1"/>
  <c r="CN78" i="1"/>
  <c r="CO78" i="1"/>
  <c r="CP78" i="1"/>
  <c r="CQ78" i="1"/>
  <c r="CR78" i="1"/>
  <c r="CS78" i="1"/>
  <c r="CT78" i="1"/>
  <c r="CU78" i="1"/>
  <c r="CV78" i="1"/>
  <c r="CW78" i="1"/>
  <c r="CX78" i="1"/>
  <c r="CY78" i="1"/>
  <c r="Z78" i="1"/>
  <c r="AA78" i="1"/>
  <c r="AB78" i="1"/>
  <c r="AC78" i="1"/>
  <c r="AD78" i="1"/>
  <c r="AE78" i="1"/>
  <c r="AF78" i="1"/>
  <c r="AG78" i="1"/>
  <c r="AH78" i="1"/>
  <c r="AI78" i="1"/>
  <c r="AJ78" i="1"/>
  <c r="AK78" i="1"/>
  <c r="AL78" i="1"/>
  <c r="AM78" i="1"/>
  <c r="AN78" i="1"/>
  <c r="AO78" i="1"/>
  <c r="AP78" i="1"/>
  <c r="H78" i="1"/>
  <c r="I78" i="1"/>
  <c r="J78" i="1"/>
  <c r="K78" i="1"/>
  <c r="L78" i="1"/>
  <c r="M78" i="1"/>
  <c r="N78" i="1"/>
  <c r="O78" i="1"/>
  <c r="P78" i="1"/>
  <c r="Q78" i="1"/>
  <c r="R78" i="1"/>
  <c r="S78" i="1"/>
  <c r="T78" i="1"/>
  <c r="U78" i="1"/>
  <c r="V78" i="1"/>
  <c r="W78" i="1"/>
  <c r="X78" i="1"/>
  <c r="Y78" i="1"/>
  <c r="E78" i="1"/>
  <c r="F78" i="1"/>
  <c r="G78" i="1"/>
  <c r="T60" i="10"/>
  <c r="S60" i="10"/>
  <c r="R60" i="10"/>
  <c r="M60" i="10"/>
  <c r="H60" i="10"/>
  <c r="I60" i="10" s="1"/>
  <c r="J60" i="10" s="1"/>
  <c r="H59" i="10"/>
  <c r="I59" i="10" s="1"/>
  <c r="K59" i="10" s="1"/>
  <c r="A8" i="11"/>
  <c r="A9" i="11"/>
  <c r="B106" i="10"/>
  <c r="G13" i="9"/>
  <c r="G6" i="9"/>
  <c r="H6" i="9" s="1"/>
  <c r="A15" i="11"/>
  <c r="H27" i="10"/>
  <c r="D14" i="1" s="1"/>
  <c r="I55" i="10"/>
  <c r="AL12" i="1" s="1"/>
  <c r="H55" i="10"/>
  <c r="D12" i="1" s="1"/>
  <c r="S4" i="12"/>
  <c r="S7" i="12"/>
  <c r="S6" i="12"/>
  <c r="S5" i="12"/>
  <c r="P14" i="12"/>
  <c r="P13" i="12"/>
  <c r="P12" i="12"/>
  <c r="W3" i="12"/>
  <c r="P11" i="12"/>
  <c r="P7" i="12"/>
  <c r="P6" i="12"/>
  <c r="P5" i="12"/>
  <c r="P4" i="12"/>
  <c r="M117" i="10"/>
  <c r="V117" i="10" s="1"/>
  <c r="M149" i="10"/>
  <c r="V149" i="10" s="1"/>
  <c r="M150" i="10"/>
  <c r="V150" i="10" s="1"/>
  <c r="M151" i="10"/>
  <c r="V151" i="10" s="1"/>
  <c r="M152" i="10"/>
  <c r="V152" i="10" s="1"/>
  <c r="M153" i="10"/>
  <c r="V153" i="10" s="1"/>
  <c r="M154" i="10"/>
  <c r="V154" i="10" s="1"/>
  <c r="M148" i="10"/>
  <c r="V148" i="10" s="1"/>
  <c r="J33" i="1"/>
  <c r="A16" i="11"/>
  <c r="B11" i="10"/>
  <c r="D6" i="1"/>
  <c r="H44" i="10"/>
  <c r="A34" i="10"/>
  <c r="H37" i="10"/>
  <c r="R36" i="1" s="1"/>
  <c r="CF32" i="1"/>
  <c r="CG32" i="1"/>
  <c r="CH32" i="1"/>
  <c r="CI32" i="1"/>
  <c r="CL32" i="1"/>
  <c r="CM32" i="1"/>
  <c r="CN32" i="1"/>
  <c r="CP32" i="1"/>
  <c r="CQ32" i="1"/>
  <c r="CR32" i="1"/>
  <c r="CU32" i="1"/>
  <c r="CV32" i="1"/>
  <c r="CW32" i="1"/>
  <c r="CX32" i="1"/>
  <c r="H32" i="1"/>
  <c r="I32" i="1"/>
  <c r="J32" i="1"/>
  <c r="K32" i="1"/>
  <c r="L32" i="1"/>
  <c r="N32" i="1"/>
  <c r="O32" i="1"/>
  <c r="P32" i="1"/>
  <c r="Q32" i="1"/>
  <c r="S32" i="1"/>
  <c r="T32" i="1"/>
  <c r="V32" i="1"/>
  <c r="X32" i="1"/>
  <c r="Y32" i="1"/>
  <c r="AA32" i="1"/>
  <c r="AC32" i="1"/>
  <c r="AD32" i="1"/>
  <c r="AF32" i="1"/>
  <c r="AI32" i="1"/>
  <c r="AK32" i="1"/>
  <c r="AN32" i="1"/>
  <c r="AS32" i="1"/>
  <c r="AT32" i="1"/>
  <c r="AU32" i="1"/>
  <c r="AX32" i="1"/>
  <c r="AZ32" i="1"/>
  <c r="BC32" i="1"/>
  <c r="BD32" i="1"/>
  <c r="BE32" i="1"/>
  <c r="BH32" i="1"/>
  <c r="BI32" i="1"/>
  <c r="BJ32" i="1"/>
  <c r="BO32" i="1"/>
  <c r="BR32" i="1"/>
  <c r="BS32" i="1"/>
  <c r="BT32" i="1"/>
  <c r="BW32" i="1"/>
  <c r="BX32" i="1"/>
  <c r="BY32" i="1"/>
  <c r="H28" i="10"/>
  <c r="D15" i="1" s="1"/>
  <c r="D47" i="1"/>
  <c r="C47" i="1" s="1"/>
  <c r="F55" i="1"/>
  <c r="F87" i="1" s="1"/>
  <c r="G55" i="1"/>
  <c r="G87" i="1" s="1"/>
  <c r="H55" i="1"/>
  <c r="I55" i="1"/>
  <c r="I87" i="1" s="1"/>
  <c r="J55" i="1"/>
  <c r="J87" i="1" s="1"/>
  <c r="K55" i="1"/>
  <c r="K87" i="1" s="1"/>
  <c r="L55" i="1"/>
  <c r="L87" i="1" s="1"/>
  <c r="M55" i="1"/>
  <c r="M87" i="1" s="1"/>
  <c r="N55" i="1"/>
  <c r="O55" i="1"/>
  <c r="O87" i="1" s="1"/>
  <c r="P55" i="1"/>
  <c r="Q55" i="1"/>
  <c r="Q87" i="1" s="1"/>
  <c r="R55" i="1"/>
  <c r="R87" i="1" s="1"/>
  <c r="S55" i="1"/>
  <c r="S87" i="1" s="1"/>
  <c r="T55" i="1"/>
  <c r="T87" i="1" s="1"/>
  <c r="U55" i="1"/>
  <c r="U87" i="1" s="1"/>
  <c r="V55" i="1"/>
  <c r="X55" i="1"/>
  <c r="Y55" i="1"/>
  <c r="Y87" i="1" s="1"/>
  <c r="Z55" i="1"/>
  <c r="Z87" i="1" s="1"/>
  <c r="AA55" i="1"/>
  <c r="AC55" i="1"/>
  <c r="AC87" i="1" s="1"/>
  <c r="AD55" i="1"/>
  <c r="AD87" i="1" s="1"/>
  <c r="AE55" i="1"/>
  <c r="AE87" i="1" s="1"/>
  <c r="AF55" i="1"/>
  <c r="AH55" i="1"/>
  <c r="AH87" i="1" s="1"/>
  <c r="AI55" i="1"/>
  <c r="AJ55" i="1"/>
  <c r="AJ87" i="1" s="1"/>
  <c r="AK55" i="1"/>
  <c r="AK87" i="1" s="1"/>
  <c r="AM55" i="1"/>
  <c r="AM87" i="1" s="1"/>
  <c r="AN55" i="1"/>
  <c r="AO55" i="1"/>
  <c r="AP55" i="1"/>
  <c r="AP87" i="1" s="1"/>
  <c r="AR55" i="1"/>
  <c r="AR87" i="1" s="1"/>
  <c r="AS55" i="1"/>
  <c r="AS87" i="1" s="1"/>
  <c r="AT55" i="1"/>
  <c r="AU55" i="1"/>
  <c r="AW55" i="1"/>
  <c r="AX55" i="1"/>
  <c r="AX87" i="1" s="1"/>
  <c r="AY55" i="1"/>
  <c r="AY87" i="1" s="1"/>
  <c r="AZ55" i="1"/>
  <c r="AZ87" i="1" s="1"/>
  <c r="BB55" i="1"/>
  <c r="BC55" i="1"/>
  <c r="BD55" i="1"/>
  <c r="BD87" i="1" s="1"/>
  <c r="BE55" i="1"/>
  <c r="BG55" i="1"/>
  <c r="BG87" i="1" s="1"/>
  <c r="BH55" i="1"/>
  <c r="BH87" i="1" s="1"/>
  <c r="BI55" i="1"/>
  <c r="BI87" i="1" s="1"/>
  <c r="BJ55" i="1"/>
  <c r="BL55" i="1"/>
  <c r="BL87" i="1" s="1"/>
  <c r="BM55" i="1"/>
  <c r="BN55" i="1"/>
  <c r="BN87" i="1" s="1"/>
  <c r="BO55" i="1"/>
  <c r="BO87" i="1" s="1"/>
  <c r="BQ55" i="1"/>
  <c r="BQ87" i="1" s="1"/>
  <c r="BR55" i="1"/>
  <c r="BS55" i="1"/>
  <c r="BT55" i="1"/>
  <c r="BT87" i="1" s="1"/>
  <c r="BV55" i="1"/>
  <c r="BV87" i="1" s="1"/>
  <c r="BW55" i="1"/>
  <c r="BW87" i="1" s="1"/>
  <c r="BX55" i="1"/>
  <c r="BX87" i="1" s="1"/>
  <c r="BY55" i="1"/>
  <c r="BY87" i="1" s="1"/>
  <c r="CA55" i="1"/>
  <c r="CA87" i="1" s="1"/>
  <c r="CB55" i="1"/>
  <c r="CB87" i="1" s="1"/>
  <c r="CC55" i="1"/>
  <c r="CC87" i="1" s="1"/>
  <c r="CD55" i="1"/>
  <c r="CD87" i="1" s="1"/>
  <c r="CF55" i="1"/>
  <c r="CF87" i="1" s="1"/>
  <c r="CG55" i="1"/>
  <c r="CG87" i="1" s="1"/>
  <c r="CH55" i="1"/>
  <c r="CI55" i="1"/>
  <c r="CK55" i="1"/>
  <c r="CL55" i="1"/>
  <c r="CL87" i="1" s="1"/>
  <c r="CM55" i="1"/>
  <c r="CM87" i="1" s="1"/>
  <c r="CN55" i="1"/>
  <c r="CN87" i="1" s="1"/>
  <c r="CP55" i="1"/>
  <c r="CQ55" i="1"/>
  <c r="CR55" i="1"/>
  <c r="CR87" i="1" s="1"/>
  <c r="CS55" i="1"/>
  <c r="CU55" i="1"/>
  <c r="CU87" i="1" s="1"/>
  <c r="CV55" i="1"/>
  <c r="CV87" i="1" s="1"/>
  <c r="CW55" i="1"/>
  <c r="CW87" i="1" s="1"/>
  <c r="CX55" i="1"/>
  <c r="D55" i="1"/>
  <c r="B54" i="10"/>
  <c r="H42" i="10"/>
  <c r="A43" i="10"/>
  <c r="A44" i="10"/>
  <c r="A42" i="10"/>
  <c r="A35" i="10"/>
  <c r="C61" i="12"/>
  <c r="C62" i="12"/>
  <c r="C63" i="12"/>
  <c r="C64" i="12" s="1"/>
  <c r="C65" i="12" s="1"/>
  <c r="C66" i="12" s="1"/>
  <c r="C67" i="12"/>
  <c r="C68" i="12" s="1"/>
  <c r="C69" i="12" s="1"/>
  <c r="C70" i="12" s="1"/>
  <c r="C71" i="12" s="1"/>
  <c r="C72" i="12" s="1"/>
  <c r="C73" i="12" s="1"/>
  <c r="C74" i="12" s="1"/>
  <c r="C75" i="12" s="1"/>
  <c r="C76" i="12" s="1"/>
  <c r="C77" i="12" s="1"/>
  <c r="C78" i="12" s="1"/>
  <c r="C79" i="12" s="1"/>
  <c r="C80" i="12" s="1"/>
  <c r="C81" i="12" s="1"/>
  <c r="C82" i="12" s="1"/>
  <c r="C83" i="12" s="1"/>
  <c r="C84" i="12" s="1"/>
  <c r="C85" i="12" s="1"/>
  <c r="C86" i="12" s="1"/>
  <c r="C87" i="12" s="1"/>
  <c r="C88" i="12" s="1"/>
  <c r="C89" i="12" s="1"/>
  <c r="C90" i="12" s="1"/>
  <c r="C91" i="12" s="1"/>
  <c r="C92" i="12" s="1"/>
  <c r="C93" i="12" s="1"/>
  <c r="C94" i="12" s="1"/>
  <c r="C95" i="12" s="1"/>
  <c r="C96" i="12" s="1"/>
  <c r="C97" i="12" s="1"/>
  <c r="C98" i="12" s="1"/>
  <c r="C99" i="12" s="1"/>
  <c r="C100" i="12" s="1"/>
  <c r="C101" i="12" s="1"/>
  <c r="C102" i="12" s="1"/>
  <c r="C103" i="12" s="1"/>
  <c r="C104" i="12" s="1"/>
  <c r="C105" i="12" s="1"/>
  <c r="C106" i="12" s="1"/>
  <c r="C107" i="12" s="1"/>
  <c r="C108" i="12" s="1"/>
  <c r="C109" i="12" s="1"/>
  <c r="C110" i="12" s="1"/>
  <c r="C111" i="12" s="1"/>
  <c r="C112" i="12" s="1"/>
  <c r="C113" i="12" s="1"/>
  <c r="C114" i="12" s="1"/>
  <c r="C115" i="12" s="1"/>
  <c r="C116" i="12" s="1"/>
  <c r="C117" i="12" s="1"/>
  <c r="C118" i="12" s="1"/>
  <c r="C119" i="12" s="1"/>
  <c r="C120" i="12" s="1"/>
  <c r="C121" i="12" s="1"/>
  <c r="C122" i="12" s="1"/>
  <c r="C123" i="12" s="1"/>
  <c r="C124" i="12" s="1"/>
  <c r="C125" i="12" s="1"/>
  <c r="C126" i="12" s="1"/>
  <c r="C127" i="12" s="1"/>
  <c r="C128" i="12" s="1"/>
  <c r="C129" i="12" s="1"/>
  <c r="C130" i="12" s="1"/>
  <c r="C131" i="12" s="1"/>
  <c r="C132" i="12" s="1"/>
  <c r="C133" i="12" s="1"/>
  <c r="C134" i="12" s="1"/>
  <c r="C135" i="12" s="1"/>
  <c r="C136" i="12" s="1"/>
  <c r="C137" i="12" s="1"/>
  <c r="C138" i="12" s="1"/>
  <c r="C139" i="12" s="1"/>
  <c r="C140" i="12" s="1"/>
  <c r="C141" i="12" s="1"/>
  <c r="C142" i="12" s="1"/>
  <c r="C143" i="12" s="1"/>
  <c r="C144" i="12" s="1"/>
  <c r="C145" i="12" s="1"/>
  <c r="C146" i="12" s="1"/>
  <c r="C147" i="12" s="1"/>
  <c r="C148" i="12" s="1"/>
  <c r="C149" i="12" s="1"/>
  <c r="C150" i="12" s="1"/>
  <c r="C151" i="12" s="1"/>
  <c r="C152" i="12" s="1"/>
  <c r="C153" i="12" s="1"/>
  <c r="C154" i="12" s="1"/>
  <c r="C155" i="12" s="1"/>
  <c r="C156" i="12" s="1"/>
  <c r="C157" i="12" s="1"/>
  <c r="C158" i="12" s="1"/>
  <c r="C159" i="12" s="1"/>
  <c r="C160" i="12" s="1"/>
  <c r="B61" i="12"/>
  <c r="B62" i="12"/>
  <c r="B63" i="12"/>
  <c r="B64" i="12" s="1"/>
  <c r="B65" i="12" s="1"/>
  <c r="B66" i="12"/>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M116" i="10"/>
  <c r="V116" i="10" s="1"/>
  <c r="M118" i="10"/>
  <c r="V118" i="10" s="1"/>
  <c r="M119" i="10"/>
  <c r="V119" i="10" s="1"/>
  <c r="M120" i="10"/>
  <c r="V120" i="10" s="1"/>
  <c r="M121" i="10"/>
  <c r="V121" i="10" s="1"/>
  <c r="M122" i="10"/>
  <c r="V122" i="10" s="1"/>
  <c r="M123" i="10"/>
  <c r="V123" i="10" s="1"/>
  <c r="M124" i="10"/>
  <c r="V124" i="10" s="1"/>
  <c r="M125" i="10"/>
  <c r="V125" i="10" s="1"/>
  <c r="M126" i="10"/>
  <c r="V126" i="10" s="1"/>
  <c r="M127" i="10"/>
  <c r="V127" i="10" s="1"/>
  <c r="M131" i="10"/>
  <c r="V131" i="10" s="1"/>
  <c r="M132" i="10"/>
  <c r="V132" i="10" s="1"/>
  <c r="M133" i="10"/>
  <c r="V133" i="10" s="1"/>
  <c r="M134" i="10"/>
  <c r="V134" i="10" s="1"/>
  <c r="M135" i="10"/>
  <c r="V135" i="10" s="1"/>
  <c r="M136" i="10"/>
  <c r="M137" i="10"/>
  <c r="M138" i="10"/>
  <c r="M139" i="10"/>
  <c r="M140" i="10"/>
  <c r="M141" i="10"/>
  <c r="M142" i="10"/>
  <c r="M143" i="10"/>
  <c r="N143" i="10"/>
  <c r="M155" i="10"/>
  <c r="V155" i="10" s="1"/>
  <c r="M156" i="10"/>
  <c r="M157" i="10"/>
  <c r="M158" i="10"/>
  <c r="M159" i="10"/>
  <c r="M160" i="10"/>
  <c r="X160" i="10" s="1"/>
  <c r="M161" i="10"/>
  <c r="M162" i="10"/>
  <c r="M163" i="10"/>
  <c r="N163" i="10"/>
  <c r="H35" i="10"/>
  <c r="H34" i="10"/>
  <c r="R18" i="1"/>
  <c r="R32" i="1" s="1"/>
  <c r="H31" i="10"/>
  <c r="D17" i="1" s="1"/>
  <c r="I31" i="10"/>
  <c r="H49" i="10"/>
  <c r="H50" i="10"/>
  <c r="D8" i="1" s="1"/>
  <c r="C8" i="1" s="1"/>
  <c r="H51" i="10"/>
  <c r="D9" i="1" s="1"/>
  <c r="C9" i="1" s="1"/>
  <c r="H53" i="10"/>
  <c r="D11" i="1" s="1"/>
  <c r="C11" i="1" s="1"/>
  <c r="A5" i="11"/>
  <c r="A6" i="11"/>
  <c r="A10" i="11"/>
  <c r="A11" i="11"/>
  <c r="A13" i="11"/>
  <c r="A12" i="11"/>
  <c r="A14" i="11"/>
  <c r="A7" i="11"/>
  <c r="T66" i="10"/>
  <c r="T59" i="10"/>
  <c r="AR27" i="1" s="1"/>
  <c r="S66" i="10"/>
  <c r="S59" i="10"/>
  <c r="AQ27" i="1" s="1"/>
  <c r="R66" i="10"/>
  <c r="R59" i="10"/>
  <c r="AP27" i="1" s="1"/>
  <c r="O48" i="1"/>
  <c r="P48" i="1"/>
  <c r="Q48" i="1"/>
  <c r="R48" i="1"/>
  <c r="S48" i="1"/>
  <c r="M66" i="10"/>
  <c r="AB66" i="10" s="1"/>
  <c r="S61" i="10"/>
  <c r="BM27" i="1" s="1"/>
  <c r="B60" i="1"/>
  <c r="A92" i="1" s="1"/>
  <c r="B61" i="1"/>
  <c r="A93" i="1" s="1"/>
  <c r="B59" i="1"/>
  <c r="A91" i="1" s="1"/>
  <c r="A88" i="1"/>
  <c r="AS51" i="1"/>
  <c r="AS83" i="1" s="1"/>
  <c r="AT51" i="1"/>
  <c r="AU51" i="1"/>
  <c r="AV51" i="1"/>
  <c r="AV83" i="1" s="1"/>
  <c r="AW51" i="1"/>
  <c r="AX51" i="1"/>
  <c r="AX83" i="1" s="1"/>
  <c r="AY51" i="1"/>
  <c r="AY83" i="1" s="1"/>
  <c r="AZ51" i="1"/>
  <c r="AZ83" i="1" s="1"/>
  <c r="BA51" i="1"/>
  <c r="BA83" i="1" s="1"/>
  <c r="BB51" i="1"/>
  <c r="BC51" i="1"/>
  <c r="BD51" i="1"/>
  <c r="BD83" i="1" s="1"/>
  <c r="BE51" i="1"/>
  <c r="BF51" i="1"/>
  <c r="BF83" i="1" s="1"/>
  <c r="BG51" i="1"/>
  <c r="BG83" i="1" s="1"/>
  <c r="BH51" i="1"/>
  <c r="BH83" i="1" s="1"/>
  <c r="BI51" i="1"/>
  <c r="BI83" i="1" s="1"/>
  <c r="BJ51" i="1"/>
  <c r="BK51" i="1"/>
  <c r="BL51" i="1"/>
  <c r="BL83" i="1" s="1"/>
  <c r="BM51" i="1"/>
  <c r="BN51" i="1"/>
  <c r="BN83" i="1" s="1"/>
  <c r="BO51" i="1"/>
  <c r="BO83" i="1" s="1"/>
  <c r="BP51" i="1"/>
  <c r="BP83" i="1" s="1"/>
  <c r="BQ51" i="1"/>
  <c r="BQ83" i="1" s="1"/>
  <c r="BR51" i="1"/>
  <c r="BS51" i="1"/>
  <c r="BT51" i="1"/>
  <c r="BT83" i="1" s="1"/>
  <c r="BU51" i="1"/>
  <c r="BV51" i="1"/>
  <c r="BV83" i="1" s="1"/>
  <c r="BW51" i="1"/>
  <c r="BW83" i="1" s="1"/>
  <c r="BX51" i="1"/>
  <c r="BX83" i="1" s="1"/>
  <c r="BY51" i="1"/>
  <c r="BY83" i="1" s="1"/>
  <c r="BZ51" i="1"/>
  <c r="CA51" i="1"/>
  <c r="CB51" i="1"/>
  <c r="CB83" i="1" s="1"/>
  <c r="CC51" i="1"/>
  <c r="CD51" i="1"/>
  <c r="CD83" i="1" s="1"/>
  <c r="CE51" i="1"/>
  <c r="CE83" i="1" s="1"/>
  <c r="CF51" i="1"/>
  <c r="CF83" i="1" s="1"/>
  <c r="CG51" i="1"/>
  <c r="CG83" i="1" s="1"/>
  <c r="CH51" i="1"/>
  <c r="CI51" i="1"/>
  <c r="CJ51" i="1"/>
  <c r="CJ83" i="1" s="1"/>
  <c r="CK51" i="1"/>
  <c r="CL51" i="1"/>
  <c r="CL83" i="1" s="1"/>
  <c r="CM51" i="1"/>
  <c r="CM83" i="1" s="1"/>
  <c r="CN51" i="1"/>
  <c r="CN83" i="1" s="1"/>
  <c r="CO51" i="1"/>
  <c r="CO83" i="1" s="1"/>
  <c r="CP51" i="1"/>
  <c r="CQ51" i="1"/>
  <c r="CR51" i="1"/>
  <c r="CR83" i="1" s="1"/>
  <c r="CS51" i="1"/>
  <c r="CT51" i="1"/>
  <c r="CT83" i="1" s="1"/>
  <c r="CU51" i="1"/>
  <c r="CU83" i="1" s="1"/>
  <c r="CV51" i="1"/>
  <c r="CV83" i="1" s="1"/>
  <c r="CW51" i="1"/>
  <c r="CW83" i="1" s="1"/>
  <c r="CX51" i="1"/>
  <c r="CY51" i="1"/>
  <c r="G7" i="9"/>
  <c r="H7" i="9" s="1"/>
  <c r="G5" i="9"/>
  <c r="H5" i="9" s="1"/>
  <c r="B68" i="8" s="1"/>
  <c r="G14" i="9"/>
  <c r="G18" i="9"/>
  <c r="G19" i="9"/>
  <c r="G20" i="9"/>
  <c r="G21" i="9"/>
  <c r="G22" i="9"/>
  <c r="G23" i="9"/>
  <c r="G24" i="9"/>
  <c r="G25" i="9"/>
  <c r="BK53" i="1" s="1"/>
  <c r="G26" i="9"/>
  <c r="BP53" i="1" s="1"/>
  <c r="BP85" i="1" s="1"/>
  <c r="G27" i="9"/>
  <c r="BU53" i="1" s="1"/>
  <c r="G28" i="9"/>
  <c r="BZ53" i="1" s="1"/>
  <c r="BZ85" i="1" s="1"/>
  <c r="G29" i="9"/>
  <c r="G10" i="9"/>
  <c r="D46" i="1"/>
  <c r="C46" i="1" s="1"/>
  <c r="H29" i="10"/>
  <c r="D16" i="1" s="1"/>
  <c r="C16" i="1" s="1"/>
  <c r="H26" i="10"/>
  <c r="D13" i="1" s="1"/>
  <c r="D3" i="1"/>
  <c r="Y51" i="1"/>
  <c r="Y83" i="1" s="1"/>
  <c r="Z51" i="1"/>
  <c r="Z83" i="1" s="1"/>
  <c r="AA51" i="1"/>
  <c r="AB51" i="1"/>
  <c r="AB83" i="1" s="1"/>
  <c r="AC51" i="1"/>
  <c r="AC83" i="1" s="1"/>
  <c r="AD51" i="1"/>
  <c r="AD83" i="1" s="1"/>
  <c r="AE51" i="1"/>
  <c r="AE83" i="1" s="1"/>
  <c r="AF51" i="1"/>
  <c r="AG51" i="1"/>
  <c r="AH51" i="1"/>
  <c r="AH83" i="1" s="1"/>
  <c r="AI51" i="1"/>
  <c r="AJ51" i="1"/>
  <c r="AJ83" i="1" s="1"/>
  <c r="AK51" i="1"/>
  <c r="AK83" i="1" s="1"/>
  <c r="AL51" i="1"/>
  <c r="AL83" i="1" s="1"/>
  <c r="AM51" i="1"/>
  <c r="AM83" i="1" s="1"/>
  <c r="AN51" i="1"/>
  <c r="AO51" i="1"/>
  <c r="AP51" i="1"/>
  <c r="AP83" i="1" s="1"/>
  <c r="AQ51" i="1"/>
  <c r="AQ83" i="1" s="1"/>
  <c r="AR51" i="1"/>
  <c r="AR83" i="1" s="1"/>
  <c r="M59" i="10"/>
  <c r="T61" i="10"/>
  <c r="BN27" i="1" s="1"/>
  <c r="T65" i="10"/>
  <c r="S65" i="10"/>
  <c r="R65" i="10"/>
  <c r="M65" i="10"/>
  <c r="Y65" i="10" s="1"/>
  <c r="M61" i="10"/>
  <c r="R61" i="10"/>
  <c r="BL27" i="1" s="1"/>
  <c r="H61" i="10"/>
  <c r="I61" i="10" s="1"/>
  <c r="J61" i="10" s="1"/>
  <c r="X51" i="1"/>
  <c r="H52" i="10"/>
  <c r="D10" i="1" s="1"/>
  <c r="M48" i="1"/>
  <c r="J48" i="1"/>
  <c r="N48" i="1"/>
  <c r="E48" i="1"/>
  <c r="H48" i="1"/>
  <c r="K48" i="1"/>
  <c r="L48" i="1"/>
  <c r="F48" i="1"/>
  <c r="G48" i="1"/>
  <c r="I48" i="1"/>
  <c r="N135" i="10"/>
  <c r="S14" i="12"/>
  <c r="S12" i="12"/>
  <c r="N155" i="10"/>
  <c r="H33" i="1"/>
  <c r="R84" i="1"/>
  <c r="AB84" i="1"/>
  <c r="W84" i="1"/>
  <c r="CS53" i="1" l="1"/>
  <c r="CS85" i="1" s="1"/>
  <c r="AJ53" i="1"/>
  <c r="BV53" i="1"/>
  <c r="AR53" i="1"/>
  <c r="AR85" i="1" s="1"/>
  <c r="AH53" i="1"/>
  <c r="AH85" i="1" s="1"/>
  <c r="AM53" i="1"/>
  <c r="AL53" i="1"/>
  <c r="W124" i="10"/>
  <c r="X124" i="10"/>
  <c r="W123" i="10"/>
  <c r="X123" i="10"/>
  <c r="W121" i="10"/>
  <c r="X121" i="10"/>
  <c r="W120" i="10"/>
  <c r="X120" i="10"/>
  <c r="W122" i="10"/>
  <c r="X122" i="10"/>
  <c r="W119" i="10"/>
  <c r="X119" i="10"/>
  <c r="W126" i="10"/>
  <c r="X126" i="10"/>
  <c r="W118" i="10"/>
  <c r="X118" i="10"/>
  <c r="W125" i="10"/>
  <c r="X125" i="10"/>
  <c r="W117" i="10"/>
  <c r="X117" i="10"/>
  <c r="AO54" i="1"/>
  <c r="AO86" i="1" s="1"/>
  <c r="H84" i="1"/>
  <c r="W86" i="1"/>
  <c r="BK84" i="1"/>
  <c r="M84" i="1"/>
  <c r="D60" i="1"/>
  <c r="D92" i="1" s="1"/>
  <c r="D59" i="1"/>
  <c r="D91" i="1" s="1"/>
  <c r="D61" i="1"/>
  <c r="D93" i="1" s="1"/>
  <c r="AB86" i="1"/>
  <c r="AI83" i="1"/>
  <c r="AA83" i="1"/>
  <c r="CK87" i="1"/>
  <c r="AW87" i="1"/>
  <c r="CS87" i="1"/>
  <c r="BE87" i="1"/>
  <c r="AA87" i="1"/>
  <c r="BM87" i="1"/>
  <c r="AI87" i="1"/>
  <c r="X83" i="1"/>
  <c r="CS83" i="1"/>
  <c r="CK83" i="1"/>
  <c r="CC83" i="1"/>
  <c r="BU83" i="1"/>
  <c r="BM83" i="1"/>
  <c r="BE83" i="1"/>
  <c r="AW83" i="1"/>
  <c r="X87" i="1"/>
  <c r="P87" i="1"/>
  <c r="H87" i="1"/>
  <c r="V86" i="1"/>
  <c r="V85" i="1"/>
  <c r="V84" i="1"/>
  <c r="CA85" i="1"/>
  <c r="CA84" i="1"/>
  <c r="AG83" i="1"/>
  <c r="CI87" i="1"/>
  <c r="CH86" i="1"/>
  <c r="CH85" i="1"/>
  <c r="CH84" i="1"/>
  <c r="CY83" i="1"/>
  <c r="CQ83" i="1"/>
  <c r="CI83" i="1"/>
  <c r="CA83" i="1"/>
  <c r="BS83" i="1"/>
  <c r="BK83" i="1"/>
  <c r="BC83" i="1"/>
  <c r="AU83" i="1"/>
  <c r="BS87" i="1"/>
  <c r="AO87" i="1"/>
  <c r="X85" i="1"/>
  <c r="X86" i="1"/>
  <c r="X84" i="1"/>
  <c r="P85" i="1"/>
  <c r="P86" i="1"/>
  <c r="P84" i="1"/>
  <c r="H85" i="1"/>
  <c r="H86" i="1"/>
  <c r="AI85" i="1"/>
  <c r="AI86" i="1"/>
  <c r="AI84" i="1"/>
  <c r="AA86" i="1"/>
  <c r="AA85" i="1"/>
  <c r="AA84" i="1"/>
  <c r="CS86" i="1"/>
  <c r="CS84" i="1"/>
  <c r="CK85" i="1"/>
  <c r="CK86" i="1"/>
  <c r="CK84" i="1"/>
  <c r="CC86" i="1"/>
  <c r="CC85" i="1"/>
  <c r="CC84" i="1"/>
  <c r="BU86" i="1"/>
  <c r="BU84" i="1"/>
  <c r="BM86" i="1"/>
  <c r="BM85" i="1"/>
  <c r="BM84" i="1"/>
  <c r="BE86" i="1"/>
  <c r="BE85" i="1"/>
  <c r="BE84" i="1"/>
  <c r="AW86" i="1"/>
  <c r="AW84" i="1"/>
  <c r="D86" i="1"/>
  <c r="D85" i="1"/>
  <c r="AO85" i="1"/>
  <c r="AO84" i="1"/>
  <c r="CI86" i="1"/>
  <c r="CI85" i="1"/>
  <c r="CI84" i="1"/>
  <c r="AF85" i="1"/>
  <c r="AF86" i="1"/>
  <c r="AF84" i="1"/>
  <c r="BB86" i="1"/>
  <c r="BB84" i="1"/>
  <c r="CX83" i="1"/>
  <c r="CP83" i="1"/>
  <c r="CH83" i="1"/>
  <c r="BZ83" i="1"/>
  <c r="BR83" i="1"/>
  <c r="BJ83" i="1"/>
  <c r="BB83" i="1"/>
  <c r="AT83" i="1"/>
  <c r="BR87" i="1"/>
  <c r="AN87" i="1"/>
  <c r="V87" i="1"/>
  <c r="N87" i="1"/>
  <c r="O86" i="1"/>
  <c r="O85" i="1"/>
  <c r="O84" i="1"/>
  <c r="AP85" i="1"/>
  <c r="AP86" i="1"/>
  <c r="AP84" i="1"/>
  <c r="AH86" i="1"/>
  <c r="AH84" i="1"/>
  <c r="Z86" i="1"/>
  <c r="Z84" i="1"/>
  <c r="CR86" i="1"/>
  <c r="CR85" i="1"/>
  <c r="CR84" i="1"/>
  <c r="CJ86" i="1"/>
  <c r="CJ84" i="1"/>
  <c r="CB85" i="1"/>
  <c r="CB86" i="1"/>
  <c r="CB84" i="1"/>
  <c r="BT86" i="1"/>
  <c r="BT85" i="1"/>
  <c r="BT84" i="1"/>
  <c r="BL86" i="1"/>
  <c r="BL84" i="1"/>
  <c r="BD86" i="1"/>
  <c r="BD85" i="1"/>
  <c r="BD84" i="1"/>
  <c r="AV86" i="1"/>
  <c r="AV84" i="1"/>
  <c r="AG86" i="1"/>
  <c r="AG84" i="1"/>
  <c r="BS85" i="1"/>
  <c r="BS86" i="1"/>
  <c r="BS84" i="1"/>
  <c r="AO83" i="1"/>
  <c r="CX85" i="1"/>
  <c r="CX86" i="1"/>
  <c r="CX84" i="1"/>
  <c r="BJ85" i="1"/>
  <c r="BJ86" i="1"/>
  <c r="BJ84" i="1"/>
  <c r="AN83" i="1"/>
  <c r="AF83" i="1"/>
  <c r="CH87" i="1"/>
  <c r="AT87" i="1"/>
  <c r="G85" i="1"/>
  <c r="G86" i="1"/>
  <c r="G84" i="1"/>
  <c r="T86" i="1"/>
  <c r="T85" i="1"/>
  <c r="T84" i="1"/>
  <c r="L86" i="1"/>
  <c r="L85" i="1"/>
  <c r="L84" i="1"/>
  <c r="AM86" i="1"/>
  <c r="AM84" i="1"/>
  <c r="AE86" i="1"/>
  <c r="AE84" i="1"/>
  <c r="CW85" i="1"/>
  <c r="CW86" i="1"/>
  <c r="CW84" i="1"/>
  <c r="CO86" i="1"/>
  <c r="CO84" i="1"/>
  <c r="CG85" i="1"/>
  <c r="CG86" i="1"/>
  <c r="CG84" i="1"/>
  <c r="BY86" i="1"/>
  <c r="BY85" i="1"/>
  <c r="BY84" i="1"/>
  <c r="BQ86" i="1"/>
  <c r="BQ84" i="1"/>
  <c r="BI85" i="1"/>
  <c r="BI86" i="1"/>
  <c r="BI84" i="1"/>
  <c r="BA86" i="1"/>
  <c r="BA84" i="1"/>
  <c r="AS85" i="1"/>
  <c r="AS86" i="1"/>
  <c r="AS84" i="1"/>
  <c r="U86" i="1"/>
  <c r="U84" i="1"/>
  <c r="CP86" i="1"/>
  <c r="CP85" i="1"/>
  <c r="CP84" i="1"/>
  <c r="AT85" i="1"/>
  <c r="AT86" i="1"/>
  <c r="AT84" i="1"/>
  <c r="BK85" i="1"/>
  <c r="CQ87" i="1"/>
  <c r="BC87" i="1"/>
  <c r="F85" i="1"/>
  <c r="F86" i="1"/>
  <c r="F84" i="1"/>
  <c r="S86" i="1"/>
  <c r="S85" i="1"/>
  <c r="S84" i="1"/>
  <c r="K86" i="1"/>
  <c r="K85" i="1"/>
  <c r="K84" i="1"/>
  <c r="AL86" i="1"/>
  <c r="AL84" i="1"/>
  <c r="AD85" i="1"/>
  <c r="AD86" i="1"/>
  <c r="AD84" i="1"/>
  <c r="CV85" i="1"/>
  <c r="CV86" i="1"/>
  <c r="CV84" i="1"/>
  <c r="CN85" i="1"/>
  <c r="CN86" i="1"/>
  <c r="CN84" i="1"/>
  <c r="CF86" i="1"/>
  <c r="CF85" i="1"/>
  <c r="CF84" i="1"/>
  <c r="BX86" i="1"/>
  <c r="BX85" i="1"/>
  <c r="BX84" i="1"/>
  <c r="BP86" i="1"/>
  <c r="BP84" i="1"/>
  <c r="BH86" i="1"/>
  <c r="BH85" i="1"/>
  <c r="BH84" i="1"/>
  <c r="AZ85" i="1"/>
  <c r="AZ86" i="1"/>
  <c r="AZ84" i="1"/>
  <c r="AR86" i="1"/>
  <c r="AR84" i="1"/>
  <c r="CY86" i="1"/>
  <c r="CY84" i="1"/>
  <c r="BC86" i="1"/>
  <c r="BC85" i="1"/>
  <c r="BC84" i="1"/>
  <c r="AU87" i="1"/>
  <c r="M86" i="1"/>
  <c r="M85" i="1"/>
  <c r="BZ86" i="1"/>
  <c r="BZ84" i="1"/>
  <c r="CP87" i="1"/>
  <c r="BB87" i="1"/>
  <c r="E86" i="1"/>
  <c r="E85" i="1"/>
  <c r="E84" i="1"/>
  <c r="R85" i="1"/>
  <c r="R86" i="1"/>
  <c r="J85" i="1"/>
  <c r="J86" i="1"/>
  <c r="J84" i="1"/>
  <c r="AK86" i="1"/>
  <c r="AK85" i="1"/>
  <c r="AK84" i="1"/>
  <c r="AC85" i="1"/>
  <c r="AC86" i="1"/>
  <c r="AC84" i="1"/>
  <c r="CU86" i="1"/>
  <c r="CU85" i="1"/>
  <c r="CU84" i="1"/>
  <c r="CM85" i="1"/>
  <c r="CM86" i="1"/>
  <c r="CM84" i="1"/>
  <c r="CE86" i="1"/>
  <c r="CE84" i="1"/>
  <c r="BW85" i="1"/>
  <c r="BW86" i="1"/>
  <c r="BW84" i="1"/>
  <c r="BO85" i="1"/>
  <c r="BO86" i="1"/>
  <c r="BO84" i="1"/>
  <c r="BG86" i="1"/>
  <c r="BG84" i="1"/>
  <c r="AY86" i="1"/>
  <c r="AY85" i="1"/>
  <c r="AY84" i="1"/>
  <c r="AQ86" i="1"/>
  <c r="AQ84" i="1"/>
  <c r="N86" i="1"/>
  <c r="N85" i="1"/>
  <c r="N84" i="1"/>
  <c r="CQ85" i="1"/>
  <c r="CQ86" i="1"/>
  <c r="CQ84" i="1"/>
  <c r="AU85" i="1"/>
  <c r="AU86" i="1"/>
  <c r="AU84" i="1"/>
  <c r="AN86" i="1"/>
  <c r="AN85" i="1"/>
  <c r="AN84" i="1"/>
  <c r="BR85" i="1"/>
  <c r="BR86" i="1"/>
  <c r="BR84" i="1"/>
  <c r="CX87" i="1"/>
  <c r="BJ87" i="1"/>
  <c r="AF87" i="1"/>
  <c r="Y85" i="1"/>
  <c r="Y86" i="1"/>
  <c r="Y84" i="1"/>
  <c r="Q85" i="1"/>
  <c r="Q86" i="1"/>
  <c r="Q84" i="1"/>
  <c r="I85" i="1"/>
  <c r="I86" i="1"/>
  <c r="I84" i="1"/>
  <c r="AJ86" i="1"/>
  <c r="AJ84" i="1"/>
  <c r="CT86" i="1"/>
  <c r="CT84" i="1"/>
  <c r="CL85" i="1"/>
  <c r="CL86" i="1"/>
  <c r="CL84" i="1"/>
  <c r="CD86" i="1"/>
  <c r="CD85" i="1"/>
  <c r="CD84" i="1"/>
  <c r="BV86" i="1"/>
  <c r="BV84" i="1"/>
  <c r="BN85" i="1"/>
  <c r="BN86" i="1"/>
  <c r="BN84" i="1"/>
  <c r="BF86" i="1"/>
  <c r="BF84" i="1"/>
  <c r="AX86" i="1"/>
  <c r="AX85" i="1"/>
  <c r="AX84" i="1"/>
  <c r="CY85" i="1"/>
  <c r="D87" i="1"/>
  <c r="V162" i="10"/>
  <c r="W162" i="10"/>
  <c r="V161" i="10"/>
  <c r="W161" i="10"/>
  <c r="V160" i="10"/>
  <c r="W160" i="10"/>
  <c r="V159" i="10"/>
  <c r="W159" i="10"/>
  <c r="X159" i="10"/>
  <c r="V157" i="10"/>
  <c r="W157" i="10"/>
  <c r="X157" i="10"/>
  <c r="V156" i="10"/>
  <c r="W156" i="10"/>
  <c r="X156" i="10"/>
  <c r="V142" i="10"/>
  <c r="W142" i="10"/>
  <c r="X142" i="10"/>
  <c r="V141" i="10"/>
  <c r="W141" i="10"/>
  <c r="X141" i="10"/>
  <c r="V140" i="10"/>
  <c r="W140" i="10"/>
  <c r="X140" i="10"/>
  <c r="V139" i="10"/>
  <c r="W139" i="10"/>
  <c r="X139" i="10"/>
  <c r="V138" i="10"/>
  <c r="W138" i="10"/>
  <c r="X138" i="10"/>
  <c r="V137" i="10"/>
  <c r="W137" i="10"/>
  <c r="X137" i="10"/>
  <c r="V158" i="10"/>
  <c r="W158" i="10"/>
  <c r="X158" i="10"/>
  <c r="V136" i="10"/>
  <c r="W136" i="10"/>
  <c r="X136" i="10"/>
  <c r="T162" i="10"/>
  <c r="X161" i="10"/>
  <c r="X62" i="10"/>
  <c r="Z62" i="10"/>
  <c r="Y62" i="10"/>
  <c r="AB62" i="10"/>
  <c r="AQ17" i="1"/>
  <c r="BK17" i="1"/>
  <c r="AB60" i="10"/>
  <c r="Z60" i="10"/>
  <c r="X60" i="10"/>
  <c r="Y60" i="10"/>
  <c r="Z59" i="10"/>
  <c r="AB59" i="10"/>
  <c r="AO25" i="1" s="1"/>
  <c r="Y59" i="10"/>
  <c r="X59" i="10"/>
  <c r="BU12" i="1"/>
  <c r="X61" i="10"/>
  <c r="Z61" i="10"/>
  <c r="BU30" i="1" s="1"/>
  <c r="Y61" i="10"/>
  <c r="AB61" i="10"/>
  <c r="BK25" i="1" s="1"/>
  <c r="C6" i="1"/>
  <c r="Z65" i="10"/>
  <c r="AB65" i="10"/>
  <c r="J103" i="10"/>
  <c r="Y66" i="10"/>
  <c r="Y68" i="10" s="1"/>
  <c r="AC66" i="10"/>
  <c r="BU31" i="1"/>
  <c r="BU85" i="1"/>
  <c r="AC62" i="10"/>
  <c r="AC59" i="10"/>
  <c r="H74" i="10"/>
  <c r="AS35" i="1" s="1"/>
  <c r="B69" i="10"/>
  <c r="AC65" i="10"/>
  <c r="X65" i="10"/>
  <c r="X68" i="10" s="1"/>
  <c r="O61" i="10"/>
  <c r="BK22" i="1" s="1"/>
  <c r="AC61" i="10"/>
  <c r="S11" i="12"/>
  <c r="V4" i="12"/>
  <c r="D88" i="1"/>
  <c r="O60" i="10"/>
  <c r="AC60" i="10"/>
  <c r="E3" i="1"/>
  <c r="C105" i="8"/>
  <c r="N144" i="10"/>
  <c r="B145" i="8"/>
  <c r="B134" i="8"/>
  <c r="B157" i="8"/>
  <c r="B99" i="8"/>
  <c r="B148" i="8"/>
  <c r="C98" i="8"/>
  <c r="W19" i="1"/>
  <c r="CW33" i="1"/>
  <c r="CT33" i="1"/>
  <c r="S13" i="12"/>
  <c r="W4" i="12" s="1"/>
  <c r="N164" i="10"/>
  <c r="BB53" i="1"/>
  <c r="C115" i="8"/>
  <c r="AT33" i="1"/>
  <c r="N33" i="1"/>
  <c r="K4" i="12"/>
  <c r="O135" i="10"/>
  <c r="D19" i="1"/>
  <c r="N59" i="10"/>
  <c r="AO20" i="1" s="1"/>
  <c r="C48" i="1"/>
  <c r="C50" i="1"/>
  <c r="D157" i="8"/>
  <c r="D89" i="8"/>
  <c r="D121" i="8"/>
  <c r="D103" i="8"/>
  <c r="D71" i="8"/>
  <c r="D139" i="8"/>
  <c r="D132" i="8"/>
  <c r="D148" i="8"/>
  <c r="D164" i="8"/>
  <c r="D80" i="8"/>
  <c r="D96" i="8"/>
  <c r="D112" i="8"/>
  <c r="D142" i="8"/>
  <c r="D158" i="8"/>
  <c r="D74" i="8"/>
  <c r="D90" i="8"/>
  <c r="D106" i="8"/>
  <c r="D122" i="8"/>
  <c r="D109" i="8"/>
  <c r="D77" i="8"/>
  <c r="D145" i="8"/>
  <c r="D115" i="8"/>
  <c r="D83" i="8"/>
  <c r="D151" i="8"/>
  <c r="D133" i="8"/>
  <c r="D165" i="8"/>
  <c r="D97" i="8"/>
  <c r="D127" i="8"/>
  <c r="D95" i="8"/>
  <c r="D163" i="8"/>
  <c r="D131" i="8"/>
  <c r="D136" i="8"/>
  <c r="D152" i="8"/>
  <c r="D128" i="8"/>
  <c r="D84" i="8"/>
  <c r="D100" i="8"/>
  <c r="D116" i="8"/>
  <c r="D130" i="8"/>
  <c r="D146" i="8"/>
  <c r="D162" i="8"/>
  <c r="D78" i="8"/>
  <c r="D94" i="8"/>
  <c r="D110" i="8"/>
  <c r="D126" i="8"/>
  <c r="D73" i="8"/>
  <c r="D87" i="8"/>
  <c r="D140" i="8"/>
  <c r="D72" i="8"/>
  <c r="D104" i="8"/>
  <c r="D150" i="8"/>
  <c r="D82" i="8"/>
  <c r="D114" i="8"/>
  <c r="D117" i="8"/>
  <c r="D69" i="8"/>
  <c r="D129" i="8"/>
  <c r="D107" i="8"/>
  <c r="D167" i="8"/>
  <c r="D81" i="8"/>
  <c r="D79" i="8"/>
  <c r="D144" i="8"/>
  <c r="D76" i="8"/>
  <c r="D108" i="8"/>
  <c r="D154" i="8"/>
  <c r="D86" i="8"/>
  <c r="D118" i="8"/>
  <c r="D101" i="8"/>
  <c r="D161" i="8"/>
  <c r="D99" i="8"/>
  <c r="D159" i="8"/>
  <c r="D141" i="8"/>
  <c r="D105" i="8"/>
  <c r="D119" i="8"/>
  <c r="D155" i="8"/>
  <c r="D68" i="8"/>
  <c r="D156" i="8"/>
  <c r="D88" i="8"/>
  <c r="D120" i="8"/>
  <c r="D134" i="8"/>
  <c r="D166" i="8"/>
  <c r="D98" i="8"/>
  <c r="D93" i="8"/>
  <c r="D153" i="8"/>
  <c r="D91" i="8"/>
  <c r="D143" i="8"/>
  <c r="D75" i="8"/>
  <c r="D125" i="8"/>
  <c r="D113" i="8"/>
  <c r="D123" i="8"/>
  <c r="B140" i="8"/>
  <c r="B115" i="8"/>
  <c r="D149" i="8"/>
  <c r="J104" i="10"/>
  <c r="H43" i="10"/>
  <c r="H45" i="10" s="1"/>
  <c r="D7" i="1" s="1"/>
  <c r="C7" i="1" s="1"/>
  <c r="CJ53" i="1"/>
  <c r="CJ85" i="1" s="1"/>
  <c r="AV53" i="1"/>
  <c r="AV85" i="1" s="1"/>
  <c r="CO53" i="1"/>
  <c r="CO85" i="1" s="1"/>
  <c r="BF53" i="1"/>
  <c r="CE53" i="1"/>
  <c r="BA53" i="1"/>
  <c r="BA85" i="1" s="1"/>
  <c r="W53" i="1"/>
  <c r="W85" i="1" s="1"/>
  <c r="CT53" i="1"/>
  <c r="CT85" i="1" s="1"/>
  <c r="AQ53" i="1"/>
  <c r="AQ85" i="1" s="1"/>
  <c r="C70" i="8"/>
  <c r="C102" i="8"/>
  <c r="C134" i="8"/>
  <c r="C116" i="8"/>
  <c r="C84" i="8"/>
  <c r="C152" i="8"/>
  <c r="C145" i="8"/>
  <c r="C161" i="8"/>
  <c r="C77" i="8"/>
  <c r="C93" i="8"/>
  <c r="C109" i="8"/>
  <c r="C125" i="8"/>
  <c r="C141" i="8"/>
  <c r="C155" i="8"/>
  <c r="C71" i="8"/>
  <c r="C87" i="8"/>
  <c r="C103" i="8"/>
  <c r="C119" i="8"/>
  <c r="C135" i="8"/>
  <c r="C122" i="8"/>
  <c r="C90" i="8"/>
  <c r="C158" i="8"/>
  <c r="C128" i="8"/>
  <c r="C96" i="8"/>
  <c r="C164" i="8"/>
  <c r="C146" i="8"/>
  <c r="C78" i="8"/>
  <c r="C110" i="8"/>
  <c r="C136" i="8"/>
  <c r="C140" i="8"/>
  <c r="C108" i="8"/>
  <c r="C76" i="8"/>
  <c r="C149" i="8"/>
  <c r="C165" i="8"/>
  <c r="C81" i="8"/>
  <c r="C97" i="8"/>
  <c r="C113" i="8"/>
  <c r="C129" i="8"/>
  <c r="C159" i="8"/>
  <c r="C75" i="8"/>
  <c r="C91" i="8"/>
  <c r="C107" i="8"/>
  <c r="C123" i="8"/>
  <c r="C139" i="8"/>
  <c r="C114" i="8"/>
  <c r="C82" i="8"/>
  <c r="C154" i="8"/>
  <c r="C118" i="8"/>
  <c r="C132" i="8"/>
  <c r="C144" i="8"/>
  <c r="C153" i="8"/>
  <c r="C85" i="8"/>
  <c r="C117" i="8"/>
  <c r="C163" i="8"/>
  <c r="C95" i="8"/>
  <c r="C127" i="8"/>
  <c r="C138" i="8"/>
  <c r="C74" i="8"/>
  <c r="C112" i="8"/>
  <c r="C72" i="8"/>
  <c r="C162" i="8"/>
  <c r="C126" i="8"/>
  <c r="C124" i="8"/>
  <c r="C160" i="8"/>
  <c r="C157" i="8"/>
  <c r="C89" i="8"/>
  <c r="C121" i="8"/>
  <c r="C167" i="8"/>
  <c r="C99" i="8"/>
  <c r="C131" i="8"/>
  <c r="C130" i="8"/>
  <c r="C166" i="8"/>
  <c r="C104" i="8"/>
  <c r="C156" i="8"/>
  <c r="C68" i="8"/>
  <c r="C86" i="8"/>
  <c r="C142" i="8"/>
  <c r="C100" i="8"/>
  <c r="C69" i="8"/>
  <c r="C101" i="8"/>
  <c r="C133" i="8"/>
  <c r="C147" i="8"/>
  <c r="C79" i="8"/>
  <c r="C111" i="8"/>
  <c r="C143" i="8"/>
  <c r="C106" i="8"/>
  <c r="C150" i="8"/>
  <c r="C88" i="8"/>
  <c r="C148" i="8"/>
  <c r="C80" i="8"/>
  <c r="D137" i="8"/>
  <c r="B163" i="8"/>
  <c r="C83" i="8"/>
  <c r="D138" i="8"/>
  <c r="D111" i="8"/>
  <c r="B96" i="8"/>
  <c r="B90" i="8"/>
  <c r="Z85" i="1"/>
  <c r="U53" i="1"/>
  <c r="BQ53" i="1"/>
  <c r="BQ85" i="1" s="1"/>
  <c r="BL53" i="1"/>
  <c r="BL85" i="1" s="1"/>
  <c r="BG53" i="1"/>
  <c r="BG85" i="1" s="1"/>
  <c r="D102" i="8"/>
  <c r="D92" i="8"/>
  <c r="B151" i="8"/>
  <c r="B167" i="8"/>
  <c r="B121" i="8"/>
  <c r="B129" i="8"/>
  <c r="B137" i="8"/>
  <c r="B69" i="8"/>
  <c r="B77" i="8"/>
  <c r="B85" i="8"/>
  <c r="B93" i="8"/>
  <c r="B101" i="8"/>
  <c r="B92" i="8"/>
  <c r="B76" i="8"/>
  <c r="B136" i="8"/>
  <c r="B119" i="8"/>
  <c r="B149" i="8"/>
  <c r="B158" i="8"/>
  <c r="B112" i="8"/>
  <c r="B152" i="8"/>
  <c r="B144" i="8"/>
  <c r="B95" i="8"/>
  <c r="B79" i="8"/>
  <c r="B139" i="8"/>
  <c r="B123" i="8"/>
  <c r="B155" i="8"/>
  <c r="B153" i="8"/>
  <c r="B107" i="8"/>
  <c r="B122" i="8"/>
  <c r="B130" i="8"/>
  <c r="B138" i="8"/>
  <c r="B70" i="8"/>
  <c r="B78" i="8"/>
  <c r="B86" i="8"/>
  <c r="B94" i="8"/>
  <c r="B102" i="8"/>
  <c r="B104" i="8"/>
  <c r="B88" i="8"/>
  <c r="B72" i="8"/>
  <c r="B132" i="8"/>
  <c r="B111" i="8"/>
  <c r="B146" i="8"/>
  <c r="B162" i="8"/>
  <c r="B116" i="8"/>
  <c r="B156" i="8"/>
  <c r="B110" i="8"/>
  <c r="B91" i="8"/>
  <c r="B75" i="8"/>
  <c r="B135" i="8"/>
  <c r="B117" i="8"/>
  <c r="B147" i="8"/>
  <c r="B159" i="8"/>
  <c r="B125" i="8"/>
  <c r="B141" i="8"/>
  <c r="B81" i="8"/>
  <c r="B97" i="8"/>
  <c r="B84" i="8"/>
  <c r="B128" i="8"/>
  <c r="B150" i="8"/>
  <c r="B120" i="8"/>
  <c r="B160" i="8"/>
  <c r="B87" i="8"/>
  <c r="B131" i="8"/>
  <c r="B161" i="8"/>
  <c r="B126" i="8"/>
  <c r="B142" i="8"/>
  <c r="B82" i="8"/>
  <c r="B98" i="8"/>
  <c r="B80" i="8"/>
  <c r="B124" i="8"/>
  <c r="B154" i="8"/>
  <c r="B164" i="8"/>
  <c r="B83" i="8"/>
  <c r="B127" i="8"/>
  <c r="B113" i="8"/>
  <c r="B133" i="8"/>
  <c r="B73" i="8"/>
  <c r="B89" i="8"/>
  <c r="B105" i="8"/>
  <c r="B100" i="8"/>
  <c r="B106" i="8"/>
  <c r="B165" i="8"/>
  <c r="B166" i="8"/>
  <c r="B114" i="8"/>
  <c r="B103" i="8"/>
  <c r="B71" i="8"/>
  <c r="B109" i="8"/>
  <c r="D70" i="8"/>
  <c r="D160" i="8"/>
  <c r="D147" i="8"/>
  <c r="K105" i="10"/>
  <c r="K103" i="10"/>
  <c r="K104" i="10"/>
  <c r="J105" i="10"/>
  <c r="D135" i="8"/>
  <c r="C120" i="8"/>
  <c r="D85" i="8"/>
  <c r="B143" i="8"/>
  <c r="B118" i="8"/>
  <c r="C151" i="8"/>
  <c r="B108" i="8"/>
  <c r="D124" i="8"/>
  <c r="C92" i="8"/>
  <c r="B74" i="8"/>
  <c r="C94" i="8"/>
  <c r="AA61" i="10"/>
  <c r="BK10" i="1" s="1"/>
  <c r="AA60" i="10"/>
  <c r="E71" i="8"/>
  <c r="E145" i="8"/>
  <c r="E73" i="8"/>
  <c r="E151" i="8"/>
  <c r="E119" i="8"/>
  <c r="E87" i="8"/>
  <c r="E74" i="8"/>
  <c r="E90" i="8"/>
  <c r="E106" i="8"/>
  <c r="E122" i="8"/>
  <c r="E138" i="8"/>
  <c r="E154" i="8"/>
  <c r="E72" i="8"/>
  <c r="E88" i="8"/>
  <c r="E104" i="8"/>
  <c r="E120" i="8"/>
  <c r="E136" i="8"/>
  <c r="E152" i="8"/>
  <c r="E68" i="8"/>
  <c r="E153" i="8"/>
  <c r="E97" i="8"/>
  <c r="E157" i="8"/>
  <c r="E125" i="8"/>
  <c r="E93" i="8"/>
  <c r="E155" i="8"/>
  <c r="E123" i="8"/>
  <c r="E91" i="8"/>
  <c r="E121" i="8"/>
  <c r="E143" i="8"/>
  <c r="E111" i="8"/>
  <c r="E79" i="8"/>
  <c r="E78" i="8"/>
  <c r="E94" i="8"/>
  <c r="E110" i="8"/>
  <c r="E126" i="8"/>
  <c r="E142" i="8"/>
  <c r="E158" i="8"/>
  <c r="E76" i="8"/>
  <c r="E92" i="8"/>
  <c r="E108" i="8"/>
  <c r="E124" i="8"/>
  <c r="E140" i="8"/>
  <c r="E156" i="8"/>
  <c r="E137" i="8"/>
  <c r="E81" i="8"/>
  <c r="AW53" i="1"/>
  <c r="O155" i="10"/>
  <c r="W17" i="1"/>
  <c r="CY31" i="1"/>
  <c r="CY32" i="1" s="1"/>
  <c r="BZ31" i="1"/>
  <c r="BZ32" i="1" s="1"/>
  <c r="CS31" i="1"/>
  <c r="CS32" i="1" s="1"/>
  <c r="BP31" i="1"/>
  <c r="BP32" i="1" s="1"/>
  <c r="CE18" i="1"/>
  <c r="AQ18" i="1"/>
  <c r="CE17" i="1"/>
  <c r="H54" i="10"/>
  <c r="AI33" i="1"/>
  <c r="AP33" i="1"/>
  <c r="CP33" i="1"/>
  <c r="CY33" i="1"/>
  <c r="CV33" i="1"/>
  <c r="BG33" i="1"/>
  <c r="AC33" i="1"/>
  <c r="BP33" i="1"/>
  <c r="BL33" i="1"/>
  <c r="CF33" i="1"/>
  <c r="CK33" i="1"/>
  <c r="R33" i="1"/>
  <c r="Z33" i="1"/>
  <c r="M33" i="1"/>
  <c r="X33" i="1"/>
  <c r="AM33" i="1"/>
  <c r="CG33" i="1"/>
  <c r="CI33" i="1"/>
  <c r="BY33" i="1"/>
  <c r="BI33" i="1"/>
  <c r="BR33" i="1"/>
  <c r="BA33" i="1"/>
  <c r="CX33" i="1"/>
  <c r="AU33" i="1"/>
  <c r="T33" i="1"/>
  <c r="BU33" i="1"/>
  <c r="S33" i="1"/>
  <c r="P33" i="1"/>
  <c r="AF33" i="1"/>
  <c r="Q33" i="1"/>
  <c r="I33" i="1"/>
  <c r="CB33" i="1"/>
  <c r="CH33" i="1"/>
  <c r="CQ33" i="1"/>
  <c r="BQ33" i="1"/>
  <c r="CN33" i="1"/>
  <c r="CU33" i="1"/>
  <c r="CJ33" i="1"/>
  <c r="CM33" i="1"/>
  <c r="BK33" i="1"/>
  <c r="CS33" i="1"/>
  <c r="CA33" i="1"/>
  <c r="AY33" i="1"/>
  <c r="Y33" i="1"/>
  <c r="G33" i="1"/>
  <c r="K33" i="1"/>
  <c r="F33" i="1"/>
  <c r="AR33" i="1"/>
  <c r="BM33" i="1"/>
  <c r="CL33" i="1"/>
  <c r="BZ33" i="1"/>
  <c r="BJ33" i="1"/>
  <c r="CR33" i="1"/>
  <c r="CO33" i="1"/>
  <c r="T68" i="10"/>
  <c r="N65" i="10"/>
  <c r="N66" i="10"/>
  <c r="BN33" i="1"/>
  <c r="BW33" i="1"/>
  <c r="BC33" i="1"/>
  <c r="BE33" i="1"/>
  <c r="AJ33" i="1"/>
  <c r="AK33" i="1"/>
  <c r="AE33" i="1"/>
  <c r="O33" i="1"/>
  <c r="AH33" i="1"/>
  <c r="AA33" i="1"/>
  <c r="E33" i="1"/>
  <c r="AN33" i="1"/>
  <c r="W33" i="1"/>
  <c r="CE33" i="1"/>
  <c r="AS33" i="1"/>
  <c r="AX33" i="1"/>
  <c r="BB33" i="1"/>
  <c r="AW33" i="1"/>
  <c r="AV33" i="1"/>
  <c r="CC33" i="1"/>
  <c r="BX33" i="1"/>
  <c r="BD33" i="1"/>
  <c r="BF33" i="1"/>
  <c r="BH33" i="1"/>
  <c r="AD33" i="1"/>
  <c r="AQ33" i="1"/>
  <c r="V33" i="1"/>
  <c r="L33" i="1"/>
  <c r="AL33" i="1"/>
  <c r="AG33" i="1"/>
  <c r="U33" i="1"/>
  <c r="AB33" i="1"/>
  <c r="AO33" i="1"/>
  <c r="BV33" i="1"/>
  <c r="BS33" i="1"/>
  <c r="AZ33" i="1"/>
  <c r="BO33" i="1"/>
  <c r="CD33" i="1"/>
  <c r="BT33" i="1"/>
  <c r="S68" i="10"/>
  <c r="O127" i="10"/>
  <c r="O143" i="10"/>
  <c r="CD27" i="1"/>
  <c r="T64" i="10"/>
  <c r="CB27" i="1"/>
  <c r="O59" i="10"/>
  <c r="AO22" i="1" s="1"/>
  <c r="O66" i="10"/>
  <c r="O163" i="10"/>
  <c r="O62" i="10"/>
  <c r="N62" i="10"/>
  <c r="O65" i="10"/>
  <c r="R68" i="10"/>
  <c r="R64" i="10"/>
  <c r="N60" i="10"/>
  <c r="S64" i="10"/>
  <c r="BK54" i="1"/>
  <c r="BK86" i="1" s="1"/>
  <c r="K61" i="10"/>
  <c r="N61" i="10"/>
  <c r="BK20" i="1" s="1"/>
  <c r="K60" i="10"/>
  <c r="CA54" i="1"/>
  <c r="CA86" i="1" s="1"/>
  <c r="CC27" i="1"/>
  <c r="J59" i="10"/>
  <c r="C36" i="1"/>
  <c r="AO24" i="1" l="1"/>
  <c r="W127" i="10"/>
  <c r="D62" i="1"/>
  <c r="C89" i="1"/>
  <c r="E60" i="1"/>
  <c r="E92" i="1" s="1"/>
  <c r="E59" i="1"/>
  <c r="E91" i="1" s="1"/>
  <c r="E61" i="1"/>
  <c r="E93" i="1" s="1"/>
  <c r="Z64" i="10"/>
  <c r="AY30" i="1"/>
  <c r="AY32" i="1" s="1"/>
  <c r="C12" i="1"/>
  <c r="W163" i="10"/>
  <c r="W164" i="10" s="1"/>
  <c r="X144" i="10"/>
  <c r="X143" i="10"/>
  <c r="W143" i="10"/>
  <c r="W144" i="10" s="1"/>
  <c r="T163" i="10"/>
  <c r="T164" i="10"/>
  <c r="X162" i="10"/>
  <c r="AT35" i="1"/>
  <c r="BK24" i="1"/>
  <c r="K69" i="10"/>
  <c r="CA35" i="1"/>
  <c r="CC35" i="1"/>
  <c r="D34" i="1"/>
  <c r="H35" i="1"/>
  <c r="CD35" i="1"/>
  <c r="AX35" i="1"/>
  <c r="CS35" i="1"/>
  <c r="CE31" i="1"/>
  <c r="CE85" i="1"/>
  <c r="AB31" i="1"/>
  <c r="AB32" i="1" s="1"/>
  <c r="AB85" i="1"/>
  <c r="BB31" i="1"/>
  <c r="BB32" i="1" s="1"/>
  <c r="BB85" i="1"/>
  <c r="U31" i="1"/>
  <c r="U32" i="1" s="1"/>
  <c r="U85" i="1"/>
  <c r="AG31" i="1"/>
  <c r="AG32" i="1" s="1"/>
  <c r="AG85" i="1"/>
  <c r="AM31" i="1"/>
  <c r="AM32" i="1" s="1"/>
  <c r="AM85" i="1"/>
  <c r="BV31" i="1"/>
  <c r="BV32" i="1" s="1"/>
  <c r="BV85" i="1"/>
  <c r="BF31" i="1"/>
  <c r="BF32" i="1" s="1"/>
  <c r="BF85" i="1"/>
  <c r="AW31" i="1"/>
  <c r="AW32" i="1" s="1"/>
  <c r="AW85" i="1"/>
  <c r="AE31" i="1"/>
  <c r="AE32" i="1" s="1"/>
  <c r="AE85" i="1"/>
  <c r="AL31" i="1"/>
  <c r="AL32" i="1" s="1"/>
  <c r="AL85" i="1"/>
  <c r="AJ31" i="1"/>
  <c r="AJ32" i="1" s="1"/>
  <c r="AJ85" i="1"/>
  <c r="BS35" i="1"/>
  <c r="BI35" i="1"/>
  <c r="AW35" i="1"/>
  <c r="AB35" i="1"/>
  <c r="AP35" i="1"/>
  <c r="AG35" i="1"/>
  <c r="AQ35" i="1"/>
  <c r="BY35" i="1"/>
  <c r="BG35" i="1"/>
  <c r="CI35" i="1"/>
  <c r="CR35" i="1"/>
  <c r="BT35" i="1"/>
  <c r="X35" i="1"/>
  <c r="AA35" i="1"/>
  <c r="F35" i="1"/>
  <c r="X64" i="10"/>
  <c r="AC35" i="1"/>
  <c r="CE35" i="1"/>
  <c r="AI35" i="1"/>
  <c r="AR35" i="1"/>
  <c r="CO35" i="1"/>
  <c r="K35" i="1"/>
  <c r="E35" i="1"/>
  <c r="AZ35" i="1"/>
  <c r="CL35" i="1"/>
  <c r="CF35" i="1"/>
  <c r="AN35" i="1"/>
  <c r="AK35" i="1"/>
  <c r="I35" i="1"/>
  <c r="BA35" i="1"/>
  <c r="CJ35" i="1"/>
  <c r="BV35" i="1"/>
  <c r="BL35" i="1"/>
  <c r="BK35" i="1"/>
  <c r="CG35" i="1"/>
  <c r="BP35" i="1"/>
  <c r="CX35" i="1"/>
  <c r="BW35" i="1"/>
  <c r="CQ35" i="1"/>
  <c r="L35" i="1"/>
  <c r="BO35" i="1"/>
  <c r="CH35" i="1"/>
  <c r="CW35" i="1"/>
  <c r="W35" i="1"/>
  <c r="BN35" i="1"/>
  <c r="AH35" i="1"/>
  <c r="AD35" i="1"/>
  <c r="P35" i="1"/>
  <c r="O35" i="1"/>
  <c r="BU35" i="1"/>
  <c r="CM35" i="1"/>
  <c r="BR35" i="1"/>
  <c r="N35" i="1"/>
  <c r="AJ35" i="1"/>
  <c r="AM35" i="1"/>
  <c r="BB35" i="1"/>
  <c r="AY35" i="1"/>
  <c r="CB35" i="1"/>
  <c r="D35" i="1"/>
  <c r="AF35" i="1"/>
  <c r="S35" i="1"/>
  <c r="AL35" i="1"/>
  <c r="CN35" i="1"/>
  <c r="BM35" i="1"/>
  <c r="G35" i="1"/>
  <c r="BC35" i="1"/>
  <c r="M35" i="1"/>
  <c r="BE35" i="1"/>
  <c r="BJ35" i="1"/>
  <c r="CU35" i="1"/>
  <c r="CT35" i="1"/>
  <c r="CK35" i="1"/>
  <c r="CY35" i="1"/>
  <c r="Z35" i="1"/>
  <c r="BX35" i="1"/>
  <c r="Y64" i="10"/>
  <c r="BH35" i="1"/>
  <c r="AU35" i="1"/>
  <c r="AV35" i="1"/>
  <c r="AO35" i="1"/>
  <c r="BD35" i="1"/>
  <c r="CV35" i="1"/>
  <c r="CP35" i="1"/>
  <c r="BQ35" i="1"/>
  <c r="R35" i="1"/>
  <c r="U35" i="1"/>
  <c r="BF35" i="1"/>
  <c r="AO31" i="1"/>
  <c r="AO32" i="1" s="1"/>
  <c r="CA24" i="1"/>
  <c r="BI34" i="1"/>
  <c r="AH34" i="1"/>
  <c r="P34" i="1"/>
  <c r="C137" i="8"/>
  <c r="BU34" i="1" s="1"/>
  <c r="C73" i="8"/>
  <c r="I34" i="1" s="1"/>
  <c r="BF34" i="1"/>
  <c r="Q35" i="1"/>
  <c r="BZ35" i="1"/>
  <c r="J35" i="1"/>
  <c r="AE35" i="1"/>
  <c r="Y35" i="1"/>
  <c r="BW34" i="1"/>
  <c r="CF34" i="1"/>
  <c r="AL34" i="1"/>
  <c r="AQ34" i="1"/>
  <c r="BP34" i="1"/>
  <c r="AO34" i="1"/>
  <c r="BC34" i="1"/>
  <c r="AS34" i="1"/>
  <c r="AS37" i="1" s="1"/>
  <c r="V35" i="1"/>
  <c r="T35" i="1"/>
  <c r="BR34" i="1"/>
  <c r="AR34" i="1"/>
  <c r="E34" i="1"/>
  <c r="BN34" i="1"/>
  <c r="AV34" i="1"/>
  <c r="AI34" i="1"/>
  <c r="CS34" i="1"/>
  <c r="K34" i="1"/>
  <c r="F34" i="1"/>
  <c r="W34" i="1"/>
  <c r="CX34" i="1"/>
  <c r="CO34" i="1"/>
  <c r="AG34" i="1"/>
  <c r="BG34" i="1"/>
  <c r="CC34" i="1"/>
  <c r="AT34" i="1"/>
  <c r="CJ34" i="1"/>
  <c r="BK34" i="1"/>
  <c r="CL34" i="1"/>
  <c r="Q34" i="1"/>
  <c r="AA34" i="1"/>
  <c r="H34" i="1"/>
  <c r="BV34" i="1"/>
  <c r="O34" i="1"/>
  <c r="BT34" i="1"/>
  <c r="BD34" i="1"/>
  <c r="CQ34" i="1"/>
  <c r="AZ34" i="1"/>
  <c r="AK34" i="1"/>
  <c r="CY34" i="1"/>
  <c r="CT34" i="1"/>
  <c r="CK34" i="1"/>
  <c r="CI34" i="1"/>
  <c r="AF34" i="1"/>
  <c r="BL34" i="1"/>
  <c r="CA34" i="1"/>
  <c r="BE34" i="1"/>
  <c r="AW34" i="1"/>
  <c r="CH34" i="1"/>
  <c r="AY34" i="1"/>
  <c r="Q60" i="10"/>
  <c r="V60" i="10" s="1"/>
  <c r="CK30" i="1"/>
  <c r="CK32" i="1" s="1"/>
  <c r="E88" i="1"/>
  <c r="F3" i="1"/>
  <c r="CT31" i="1"/>
  <c r="CT32" i="1" s="1"/>
  <c r="Z68" i="10"/>
  <c r="CO31" i="1"/>
  <c r="CO32" i="1" s="1"/>
  <c r="Z31" i="1"/>
  <c r="Z32" i="1" s="1"/>
  <c r="N68" i="10"/>
  <c r="D21" i="1" s="1"/>
  <c r="C21" i="1" s="1"/>
  <c r="AC68" i="10"/>
  <c r="I28" i="10"/>
  <c r="BK15" i="1" s="1"/>
  <c r="I27" i="10"/>
  <c r="BK14" i="1" s="1"/>
  <c r="I26" i="10"/>
  <c r="BK13" i="1" s="1"/>
  <c r="O164" i="10"/>
  <c r="O144" i="10"/>
  <c r="CA25" i="1"/>
  <c r="BA31" i="1"/>
  <c r="BA32" i="1" s="1"/>
  <c r="W31" i="1"/>
  <c r="AB64" i="10"/>
  <c r="J106" i="10"/>
  <c r="AC64" i="10"/>
  <c r="AV31" i="1"/>
  <c r="AV32" i="1" s="1"/>
  <c r="C19" i="1"/>
  <c r="G27" i="1"/>
  <c r="CJ31" i="1"/>
  <c r="CJ32" i="1" s="1"/>
  <c r="BG31" i="1"/>
  <c r="BG32" i="1" s="1"/>
  <c r="K106" i="10"/>
  <c r="S102" i="1" s="1"/>
  <c r="S104" i="1" s="1"/>
  <c r="AB68" i="10"/>
  <c r="Q66" i="10"/>
  <c r="V66" i="10" s="1"/>
  <c r="C53" i="1"/>
  <c r="F27" i="1"/>
  <c r="AH31" i="1"/>
  <c r="AH32" i="1" s="1"/>
  <c r="G34" i="1"/>
  <c r="Y34" i="1"/>
  <c r="CE34" i="1"/>
  <c r="AC34" i="1"/>
  <c r="CU34" i="1"/>
  <c r="CA10" i="1"/>
  <c r="C10" i="1" s="1"/>
  <c r="BQ31" i="1"/>
  <c r="BQ32" i="1" s="1"/>
  <c r="J34" i="1"/>
  <c r="AM34" i="1"/>
  <c r="AP34" i="1"/>
  <c r="S34" i="1"/>
  <c r="BH34" i="1"/>
  <c r="BZ34" i="1"/>
  <c r="BY34" i="1"/>
  <c r="BA34" i="1"/>
  <c r="CD34" i="1"/>
  <c r="X34" i="1"/>
  <c r="V34" i="1"/>
  <c r="CM34" i="1"/>
  <c r="AE34" i="1"/>
  <c r="CP34" i="1"/>
  <c r="L34" i="1"/>
  <c r="U34" i="1"/>
  <c r="BM34" i="1"/>
  <c r="BX34" i="1"/>
  <c r="CW34" i="1"/>
  <c r="R34" i="1"/>
  <c r="BO34" i="1"/>
  <c r="AD34" i="1"/>
  <c r="O64" i="10"/>
  <c r="D22" i="1" s="1"/>
  <c r="BB34" i="1"/>
  <c r="AX34" i="1"/>
  <c r="AJ34" i="1"/>
  <c r="BQ34" i="1"/>
  <c r="CV34" i="1"/>
  <c r="BJ34" i="1"/>
  <c r="CR34" i="1"/>
  <c r="T34" i="1"/>
  <c r="BS34" i="1"/>
  <c r="CN34" i="1"/>
  <c r="AU34" i="1"/>
  <c r="AN34" i="1"/>
  <c r="N34" i="1"/>
  <c r="CB34" i="1"/>
  <c r="CG34" i="1"/>
  <c r="AB34" i="1"/>
  <c r="M34" i="1"/>
  <c r="Z34" i="1"/>
  <c r="Q62" i="10"/>
  <c r="W62" i="10" s="1"/>
  <c r="BU32" i="1"/>
  <c r="C17" i="1"/>
  <c r="C18" i="1"/>
  <c r="CA22" i="1"/>
  <c r="Q59" i="10"/>
  <c r="W59" i="10" s="1"/>
  <c r="AR28" i="1" s="1"/>
  <c r="C33" i="1"/>
  <c r="CA20" i="1"/>
  <c r="O68" i="10"/>
  <c r="D23" i="1" s="1"/>
  <c r="C23" i="1" s="1"/>
  <c r="E27" i="1"/>
  <c r="Q65" i="10"/>
  <c r="Q61" i="10"/>
  <c r="N64" i="10"/>
  <c r="D20" i="1" s="1"/>
  <c r="C86" i="1"/>
  <c r="C54" i="1"/>
  <c r="AB55" i="1" l="1"/>
  <c r="AB87" i="1" s="1"/>
  <c r="W55" i="1"/>
  <c r="W87" i="1" s="1"/>
  <c r="F60" i="1"/>
  <c r="F92" i="1" s="1"/>
  <c r="F59" i="1"/>
  <c r="F91" i="1" s="1"/>
  <c r="F61" i="1"/>
  <c r="F93" i="1" s="1"/>
  <c r="D37" i="1"/>
  <c r="AL55" i="1"/>
  <c r="AL87" i="1" s="1"/>
  <c r="AG55" i="1"/>
  <c r="AG87" i="1" s="1"/>
  <c r="AT37" i="1"/>
  <c r="X164" i="10"/>
  <c r="X163" i="10"/>
  <c r="CI37" i="1"/>
  <c r="BK37" i="1"/>
  <c r="H37" i="1"/>
  <c r="CC37" i="1"/>
  <c r="CT37" i="1"/>
  <c r="CA37" i="1"/>
  <c r="CD37" i="1"/>
  <c r="CK37" i="1"/>
  <c r="CS37" i="1"/>
  <c r="AX37" i="1"/>
  <c r="BB37" i="1"/>
  <c r="BS37" i="1"/>
  <c r="CL37" i="1"/>
  <c r="AC37" i="1"/>
  <c r="BG37" i="1"/>
  <c r="BO37" i="1"/>
  <c r="P37" i="1"/>
  <c r="BM37" i="1"/>
  <c r="BL37" i="1"/>
  <c r="AO37" i="1"/>
  <c r="CY37" i="1"/>
  <c r="AW37" i="1"/>
  <c r="J37" i="1"/>
  <c r="M37" i="1"/>
  <c r="AB37" i="1"/>
  <c r="BW37" i="1"/>
  <c r="BI37" i="1"/>
  <c r="CH37" i="1"/>
  <c r="O37" i="1"/>
  <c r="CF37" i="1"/>
  <c r="Y37" i="1"/>
  <c r="BK31" i="1"/>
  <c r="AI37" i="1"/>
  <c r="Z37" i="1"/>
  <c r="L37" i="1"/>
  <c r="AD37" i="1"/>
  <c r="BZ37" i="1"/>
  <c r="BF37" i="1"/>
  <c r="BY37" i="1"/>
  <c r="CB37" i="1"/>
  <c r="AV55" i="1"/>
  <c r="AV87" i="1" s="1"/>
  <c r="E55" i="1"/>
  <c r="E87" i="1" s="1"/>
  <c r="AH37" i="1"/>
  <c r="BX37" i="1"/>
  <c r="X37" i="1"/>
  <c r="AP37" i="1"/>
  <c r="BE37" i="1"/>
  <c r="AK37" i="1"/>
  <c r="CP37" i="1"/>
  <c r="W37" i="1"/>
  <c r="AR37" i="1"/>
  <c r="BT37" i="1"/>
  <c r="CM37" i="1"/>
  <c r="AF37" i="1"/>
  <c r="CX37" i="1"/>
  <c r="BC37" i="1"/>
  <c r="CG37" i="1"/>
  <c r="CR37" i="1"/>
  <c r="CO37" i="1"/>
  <c r="N37" i="1"/>
  <c r="R37" i="1"/>
  <c r="AE37" i="1"/>
  <c r="BH37" i="1"/>
  <c r="BU37" i="1"/>
  <c r="CV37" i="1"/>
  <c r="AN37" i="1"/>
  <c r="BQ37" i="1"/>
  <c r="CW37" i="1"/>
  <c r="BR37" i="1"/>
  <c r="BJ37" i="1"/>
  <c r="I37" i="1"/>
  <c r="K37" i="1"/>
  <c r="D24" i="1"/>
  <c r="C24" i="1" s="1"/>
  <c r="S37" i="1"/>
  <c r="CU37" i="1"/>
  <c r="AA37" i="1"/>
  <c r="AG37" i="1"/>
  <c r="AU37" i="1"/>
  <c r="AJ37" i="1"/>
  <c r="BN37" i="1"/>
  <c r="CE37" i="1"/>
  <c r="BD37" i="1"/>
  <c r="BP37" i="1"/>
  <c r="U37" i="1"/>
  <c r="BA37" i="1"/>
  <c r="G37" i="1"/>
  <c r="AY37" i="1"/>
  <c r="BV37" i="1"/>
  <c r="AZ37" i="1"/>
  <c r="AV37" i="1"/>
  <c r="CQ37" i="1"/>
  <c r="CN37" i="1"/>
  <c r="E37" i="1"/>
  <c r="AM37" i="1"/>
  <c r="AQ37" i="1"/>
  <c r="CJ37" i="1"/>
  <c r="F37" i="1"/>
  <c r="AL37" i="1"/>
  <c r="Q37" i="1"/>
  <c r="V37" i="1"/>
  <c r="BS102" i="1"/>
  <c r="BS104" i="1" s="1"/>
  <c r="C35" i="1"/>
  <c r="T37" i="1"/>
  <c r="W60" i="10"/>
  <c r="CD28" i="1" s="1"/>
  <c r="CD31" i="1" s="1"/>
  <c r="CD32" i="1" s="1"/>
  <c r="U60" i="10"/>
  <c r="M30" i="1"/>
  <c r="C30" i="1" s="1"/>
  <c r="W66" i="10"/>
  <c r="F88" i="1"/>
  <c r="D26" i="1"/>
  <c r="C26" i="1" s="1"/>
  <c r="G3" i="1"/>
  <c r="U66" i="10"/>
  <c r="AQ13" i="1"/>
  <c r="W13" i="1"/>
  <c r="CE13" i="1"/>
  <c r="W14" i="1"/>
  <c r="CE14" i="1"/>
  <c r="AQ14" i="1"/>
  <c r="CE15" i="1"/>
  <c r="AQ15" i="1"/>
  <c r="D84" i="1"/>
  <c r="D25" i="1"/>
  <c r="V62" i="10"/>
  <c r="T49" i="1"/>
  <c r="T51" i="1" s="1"/>
  <c r="T83" i="1" s="1"/>
  <c r="S49" i="1"/>
  <c r="S51" i="1" s="1"/>
  <c r="S83" i="1" s="1"/>
  <c r="W49" i="1"/>
  <c r="W51" i="1" s="1"/>
  <c r="W83" i="1" s="1"/>
  <c r="E49" i="1"/>
  <c r="E51" i="1" s="1"/>
  <c r="E83" i="1" s="1"/>
  <c r="F49" i="1"/>
  <c r="F51" i="1" s="1"/>
  <c r="F83" i="1" s="1"/>
  <c r="N49" i="1"/>
  <c r="N51" i="1" s="1"/>
  <c r="N83" i="1" s="1"/>
  <c r="D49" i="1"/>
  <c r="D51" i="1" s="1"/>
  <c r="D63" i="1" s="1"/>
  <c r="Q49" i="1"/>
  <c r="Q51" i="1" s="1"/>
  <c r="Q83" i="1" s="1"/>
  <c r="V49" i="1"/>
  <c r="V51" i="1" s="1"/>
  <c r="V83" i="1" s="1"/>
  <c r="O49" i="1"/>
  <c r="O51" i="1" s="1"/>
  <c r="O83" i="1" s="1"/>
  <c r="I49" i="1"/>
  <c r="I51" i="1" s="1"/>
  <c r="I83" i="1" s="1"/>
  <c r="R49" i="1"/>
  <c r="R51" i="1" s="1"/>
  <c r="R83" i="1" s="1"/>
  <c r="J49" i="1"/>
  <c r="J51" i="1" s="1"/>
  <c r="J83" i="1" s="1"/>
  <c r="L49" i="1"/>
  <c r="L51" i="1" s="1"/>
  <c r="L83" i="1" s="1"/>
  <c r="K49" i="1"/>
  <c r="K51" i="1" s="1"/>
  <c r="K83" i="1" s="1"/>
  <c r="U49" i="1"/>
  <c r="U51" i="1" s="1"/>
  <c r="U83" i="1" s="1"/>
  <c r="G49" i="1"/>
  <c r="G51" i="1" s="1"/>
  <c r="G83" i="1" s="1"/>
  <c r="P49" i="1"/>
  <c r="P51" i="1" s="1"/>
  <c r="P83" i="1" s="1"/>
  <c r="H49" i="1"/>
  <c r="H51" i="1" s="1"/>
  <c r="H83" i="1" s="1"/>
  <c r="M49" i="1"/>
  <c r="M51" i="1" s="1"/>
  <c r="M83" i="1" s="1"/>
  <c r="AV102" i="1"/>
  <c r="AV104" i="1" s="1"/>
  <c r="M102" i="1"/>
  <c r="M104" i="1" s="1"/>
  <c r="E102" i="1"/>
  <c r="E104" i="1" s="1"/>
  <c r="Z102" i="1"/>
  <c r="Z104" i="1" s="1"/>
  <c r="AQ102" i="1"/>
  <c r="AQ104" i="1" s="1"/>
  <c r="AC102" i="1"/>
  <c r="AC104" i="1" s="1"/>
  <c r="BJ102" i="1"/>
  <c r="BJ104" i="1" s="1"/>
  <c r="AH102" i="1"/>
  <c r="AH104" i="1" s="1"/>
  <c r="BU102" i="1"/>
  <c r="BU104" i="1" s="1"/>
  <c r="AB102" i="1"/>
  <c r="AB104" i="1" s="1"/>
  <c r="CO102" i="1"/>
  <c r="CO104" i="1" s="1"/>
  <c r="U102" i="1"/>
  <c r="U104" i="1" s="1"/>
  <c r="CQ102" i="1"/>
  <c r="CQ104" i="1" s="1"/>
  <c r="T102" i="1"/>
  <c r="T104" i="1" s="1"/>
  <c r="BM102" i="1"/>
  <c r="BM104" i="1" s="1"/>
  <c r="F102" i="1"/>
  <c r="F104" i="1" s="1"/>
  <c r="BH102" i="1"/>
  <c r="BH104" i="1" s="1"/>
  <c r="AD102" i="1"/>
  <c r="AD104" i="1" s="1"/>
  <c r="BI102" i="1"/>
  <c r="BI104" i="1" s="1"/>
  <c r="CE102" i="1"/>
  <c r="CE104" i="1" s="1"/>
  <c r="BO102" i="1"/>
  <c r="BO104" i="1" s="1"/>
  <c r="G102" i="1"/>
  <c r="G104" i="1" s="1"/>
  <c r="V102" i="1"/>
  <c r="V104" i="1" s="1"/>
  <c r="CU102" i="1"/>
  <c r="CU104" i="1" s="1"/>
  <c r="CF102" i="1"/>
  <c r="CF104" i="1" s="1"/>
  <c r="CI102" i="1"/>
  <c r="CI104" i="1" s="1"/>
  <c r="BN102" i="1"/>
  <c r="BN104" i="1" s="1"/>
  <c r="AX102" i="1"/>
  <c r="AX104" i="1" s="1"/>
  <c r="BT102" i="1"/>
  <c r="BT104" i="1" s="1"/>
  <c r="R102" i="1"/>
  <c r="R104" i="1" s="1"/>
  <c r="AP102" i="1"/>
  <c r="AP104" i="1" s="1"/>
  <c r="AY102" i="1"/>
  <c r="AY104" i="1" s="1"/>
  <c r="AM102" i="1"/>
  <c r="AM104" i="1" s="1"/>
  <c r="AZ102" i="1"/>
  <c r="AZ104" i="1" s="1"/>
  <c r="AO102" i="1"/>
  <c r="AO104" i="1" s="1"/>
  <c r="BD102" i="1"/>
  <c r="BD104" i="1" s="1"/>
  <c r="BZ102" i="1"/>
  <c r="BZ104" i="1" s="1"/>
  <c r="CW102" i="1"/>
  <c r="CW104" i="1" s="1"/>
  <c r="CY102" i="1"/>
  <c r="CY104" i="1" s="1"/>
  <c r="BR102" i="1"/>
  <c r="BR104" i="1" s="1"/>
  <c r="CJ102" i="1"/>
  <c r="CJ104" i="1" s="1"/>
  <c r="CX102" i="1"/>
  <c r="CX104" i="1" s="1"/>
  <c r="AN102" i="1"/>
  <c r="AN104" i="1" s="1"/>
  <c r="CR102" i="1"/>
  <c r="CR104" i="1" s="1"/>
  <c r="CP102" i="1"/>
  <c r="CP104" i="1" s="1"/>
  <c r="Q102" i="1"/>
  <c r="Q104" i="1" s="1"/>
  <c r="CA102" i="1"/>
  <c r="CA104" i="1" s="1"/>
  <c r="BL102" i="1"/>
  <c r="BL104" i="1" s="1"/>
  <c r="AI102" i="1"/>
  <c r="AI104" i="1" s="1"/>
  <c r="AA102" i="1"/>
  <c r="AA104" i="1" s="1"/>
  <c r="BV102" i="1"/>
  <c r="BV104" i="1" s="1"/>
  <c r="CL102" i="1"/>
  <c r="CL104" i="1" s="1"/>
  <c r="BE102" i="1"/>
  <c r="BE104" i="1" s="1"/>
  <c r="CN102" i="1"/>
  <c r="CN104" i="1" s="1"/>
  <c r="D102" i="1"/>
  <c r="D104" i="1" s="1"/>
  <c r="BX102" i="1"/>
  <c r="BX104" i="1" s="1"/>
  <c r="BB102" i="1"/>
  <c r="BB104" i="1" s="1"/>
  <c r="BG102" i="1"/>
  <c r="BG104" i="1" s="1"/>
  <c r="BK102" i="1"/>
  <c r="BK104" i="1" s="1"/>
  <c r="W102" i="1"/>
  <c r="W104" i="1" s="1"/>
  <c r="BP102" i="1"/>
  <c r="BP104" i="1" s="1"/>
  <c r="K102" i="1"/>
  <c r="K104" i="1" s="1"/>
  <c r="BY102" i="1"/>
  <c r="BY104" i="1" s="1"/>
  <c r="CD102" i="1"/>
  <c r="CD104" i="1" s="1"/>
  <c r="BF102" i="1"/>
  <c r="BF104" i="1" s="1"/>
  <c r="H102" i="1"/>
  <c r="H104" i="1" s="1"/>
  <c r="AJ102" i="1"/>
  <c r="AJ104" i="1" s="1"/>
  <c r="O102" i="1"/>
  <c r="O104" i="1" s="1"/>
  <c r="BA102" i="1"/>
  <c r="BA104" i="1" s="1"/>
  <c r="AU102" i="1"/>
  <c r="AU104" i="1" s="1"/>
  <c r="CS102" i="1"/>
  <c r="CS104" i="1" s="1"/>
  <c r="X102" i="1"/>
  <c r="X104" i="1" s="1"/>
  <c r="AT102" i="1"/>
  <c r="AT104" i="1" s="1"/>
  <c r="CV102" i="1"/>
  <c r="CV104" i="1" s="1"/>
  <c r="CT102" i="1"/>
  <c r="CT104" i="1" s="1"/>
  <c r="BQ102" i="1"/>
  <c r="BQ104" i="1" s="1"/>
  <c r="CC102" i="1"/>
  <c r="CC104" i="1" s="1"/>
  <c r="CB102" i="1"/>
  <c r="CB104" i="1" s="1"/>
  <c r="I102" i="1"/>
  <c r="I104" i="1" s="1"/>
  <c r="AL102" i="1"/>
  <c r="AL104" i="1" s="1"/>
  <c r="AF102" i="1"/>
  <c r="AF104" i="1" s="1"/>
  <c r="AW102" i="1"/>
  <c r="AW104" i="1" s="1"/>
  <c r="BC102" i="1"/>
  <c r="BC104" i="1" s="1"/>
  <c r="CK102" i="1"/>
  <c r="CK104" i="1" s="1"/>
  <c r="L102" i="1"/>
  <c r="L104" i="1" s="1"/>
  <c r="AR102" i="1"/>
  <c r="AR104" i="1" s="1"/>
  <c r="AG102" i="1"/>
  <c r="AG104" i="1" s="1"/>
  <c r="CH102" i="1"/>
  <c r="CH104" i="1" s="1"/>
  <c r="AE102" i="1"/>
  <c r="AE104" i="1" s="1"/>
  <c r="AS102" i="1"/>
  <c r="AS104" i="1" s="1"/>
  <c r="P102" i="1"/>
  <c r="P104" i="1" s="1"/>
  <c r="J102" i="1"/>
  <c r="J104" i="1" s="1"/>
  <c r="BW102" i="1"/>
  <c r="BW104" i="1" s="1"/>
  <c r="N102" i="1"/>
  <c r="N104" i="1" s="1"/>
  <c r="AK102" i="1"/>
  <c r="AK104" i="1" s="1"/>
  <c r="Y102" i="1"/>
  <c r="Y104" i="1" s="1"/>
  <c r="CM102" i="1"/>
  <c r="CM104" i="1" s="1"/>
  <c r="CG102" i="1"/>
  <c r="CG104" i="1" s="1"/>
  <c r="C27" i="1"/>
  <c r="C22" i="1"/>
  <c r="C34" i="1"/>
  <c r="U62" i="10"/>
  <c r="C85" i="1"/>
  <c r="V59" i="10"/>
  <c r="AQ28" i="1" s="1"/>
  <c r="U59" i="10"/>
  <c r="CA31" i="1"/>
  <c r="CA32" i="1" s="1"/>
  <c r="AR31" i="1"/>
  <c r="AR32" i="1" s="1"/>
  <c r="CT55" i="1"/>
  <c r="CT87" i="1" s="1"/>
  <c r="BP55" i="1"/>
  <c r="BP87" i="1" s="1"/>
  <c r="BZ55" i="1"/>
  <c r="BZ87" i="1" s="1"/>
  <c r="CE55" i="1"/>
  <c r="CE87" i="1" s="1"/>
  <c r="BF55" i="1"/>
  <c r="BF87" i="1" s="1"/>
  <c r="BK55" i="1"/>
  <c r="BK87" i="1" s="1"/>
  <c r="CJ55" i="1"/>
  <c r="CJ87" i="1" s="1"/>
  <c r="CO55" i="1"/>
  <c r="CO87" i="1" s="1"/>
  <c r="AQ55" i="1"/>
  <c r="AQ87" i="1" s="1"/>
  <c r="BU55" i="1"/>
  <c r="BU87" i="1" s="1"/>
  <c r="CY55" i="1"/>
  <c r="CY87" i="1" s="1"/>
  <c r="BA55" i="1"/>
  <c r="BA87" i="1" s="1"/>
  <c r="V65" i="10"/>
  <c r="V68" i="10" s="1"/>
  <c r="F29" i="1" s="1"/>
  <c r="U65" i="10"/>
  <c r="W65" i="10"/>
  <c r="Q68" i="10"/>
  <c r="C20" i="1"/>
  <c r="U61" i="10"/>
  <c r="V61" i="10"/>
  <c r="W61" i="10"/>
  <c r="Q64" i="10"/>
  <c r="G61" i="1" l="1"/>
  <c r="G93" i="1" s="1"/>
  <c r="G60" i="1"/>
  <c r="G92" i="1" s="1"/>
  <c r="G59" i="1"/>
  <c r="G91" i="1" s="1"/>
  <c r="G88" i="1"/>
  <c r="AP28" i="1"/>
  <c r="AP31" i="1" s="1"/>
  <c r="AP32" i="1" s="1"/>
  <c r="C37" i="1"/>
  <c r="M32" i="1"/>
  <c r="W68" i="10"/>
  <c r="G29" i="1" s="1"/>
  <c r="D31" i="1"/>
  <c r="D32" i="1" s="1"/>
  <c r="U68" i="10"/>
  <c r="E29" i="1" s="1"/>
  <c r="H3" i="1"/>
  <c r="BK32" i="1"/>
  <c r="CE32" i="1"/>
  <c r="C25" i="1"/>
  <c r="C13" i="1"/>
  <c r="W32" i="1"/>
  <c r="C15" i="1"/>
  <c r="C14" i="1"/>
  <c r="C104" i="1"/>
  <c r="D6" i="13" s="1"/>
  <c r="E6" i="13" s="1"/>
  <c r="C49" i="1"/>
  <c r="C51" i="1" s="1"/>
  <c r="C102" i="1"/>
  <c r="CB28" i="1"/>
  <c r="CB31" i="1" s="1"/>
  <c r="CC28" i="1"/>
  <c r="CC31" i="1" s="1"/>
  <c r="CC32" i="1" s="1"/>
  <c r="C55" i="1"/>
  <c r="BL28" i="1"/>
  <c r="U64" i="10"/>
  <c r="E28" i="1" s="1"/>
  <c r="BN28" i="1"/>
  <c r="BN31" i="1" s="1"/>
  <c r="W64" i="10"/>
  <c r="G28" i="1" s="1"/>
  <c r="BM28" i="1"/>
  <c r="BM31" i="1" s="1"/>
  <c r="V64" i="10"/>
  <c r="F28" i="1" s="1"/>
  <c r="F31" i="1" s="1"/>
  <c r="H61" i="1" l="1"/>
  <c r="H93" i="1" s="1"/>
  <c r="H60" i="1"/>
  <c r="H92" i="1" s="1"/>
  <c r="H59" i="1"/>
  <c r="H91" i="1" s="1"/>
  <c r="D83" i="1"/>
  <c r="C83" i="1" s="1"/>
  <c r="C29" i="1"/>
  <c r="H88" i="1"/>
  <c r="I3" i="1"/>
  <c r="CB32" i="1"/>
  <c r="G31" i="1"/>
  <c r="G32" i="1" s="1"/>
  <c r="E31" i="1"/>
  <c r="E32" i="1" s="1"/>
  <c r="AQ31" i="1"/>
  <c r="AQ32" i="1" s="1"/>
  <c r="BL31" i="1"/>
  <c r="C87" i="1"/>
  <c r="BN32" i="1"/>
  <c r="BM32" i="1"/>
  <c r="C28" i="1"/>
  <c r="F32" i="1"/>
  <c r="I59" i="1" l="1"/>
  <c r="I91" i="1" s="1"/>
  <c r="I61" i="1"/>
  <c r="I93" i="1" s="1"/>
  <c r="I60" i="1"/>
  <c r="I92" i="1" s="1"/>
  <c r="J3" i="1"/>
  <c r="I88" i="1"/>
  <c r="C31" i="1"/>
  <c r="C32" i="1" s="1"/>
  <c r="J88" i="1"/>
  <c r="BL32" i="1"/>
  <c r="J59" i="1" l="1"/>
  <c r="J91" i="1" s="1"/>
  <c r="J61" i="1"/>
  <c r="J93" i="1" s="1"/>
  <c r="J60" i="1"/>
  <c r="J92" i="1" s="1"/>
  <c r="K3" i="1"/>
  <c r="L3" i="1" s="1"/>
  <c r="K88" i="1"/>
  <c r="L60" i="1" l="1"/>
  <c r="L92" i="1" s="1"/>
  <c r="L59" i="1"/>
  <c r="L91" i="1" s="1"/>
  <c r="L61" i="1"/>
  <c r="L93" i="1" s="1"/>
  <c r="K59" i="1"/>
  <c r="K91" i="1" s="1"/>
  <c r="K61" i="1"/>
  <c r="K93" i="1" s="1"/>
  <c r="K60" i="1"/>
  <c r="K92" i="1" s="1"/>
  <c r="M3" i="1"/>
  <c r="L88" i="1"/>
  <c r="M60" i="1" l="1"/>
  <c r="M92" i="1" s="1"/>
  <c r="M59" i="1"/>
  <c r="M91" i="1" s="1"/>
  <c r="M61" i="1"/>
  <c r="M93" i="1" s="1"/>
  <c r="M88" i="1"/>
  <c r="N3" i="1"/>
  <c r="N60" i="1" l="1"/>
  <c r="N92" i="1" s="1"/>
  <c r="N59" i="1"/>
  <c r="N91" i="1" s="1"/>
  <c r="N61" i="1"/>
  <c r="N93" i="1" s="1"/>
  <c r="O3" i="1"/>
  <c r="N88" i="1"/>
  <c r="O61" i="1" l="1"/>
  <c r="O93" i="1" s="1"/>
  <c r="O60" i="1"/>
  <c r="O92" i="1" s="1"/>
  <c r="O59" i="1"/>
  <c r="O91" i="1" s="1"/>
  <c r="O88" i="1"/>
  <c r="P3" i="1"/>
  <c r="P61" i="1" l="1"/>
  <c r="P93" i="1" s="1"/>
  <c r="P60" i="1"/>
  <c r="P92" i="1" s="1"/>
  <c r="P59" i="1"/>
  <c r="P91" i="1" s="1"/>
  <c r="Q3" i="1"/>
  <c r="P88" i="1"/>
  <c r="Q59" i="1" l="1"/>
  <c r="Q91" i="1" s="1"/>
  <c r="Q61" i="1"/>
  <c r="Q60" i="1"/>
  <c r="H62" i="1"/>
  <c r="H63" i="1" s="1"/>
  <c r="H71" i="1" s="1"/>
  <c r="H95" i="1" s="1"/>
  <c r="L62" i="1"/>
  <c r="L63" i="1" s="1"/>
  <c r="L71" i="1" s="1"/>
  <c r="L95" i="1" s="1"/>
  <c r="F62" i="1"/>
  <c r="F63" i="1" s="1"/>
  <c r="F70" i="1" s="1"/>
  <c r="F94" i="1" s="1"/>
  <c r="O62" i="1"/>
  <c r="O63" i="1" s="1"/>
  <c r="O71" i="1" s="1"/>
  <c r="O95" i="1" s="1"/>
  <c r="M62" i="1"/>
  <c r="M63" i="1" s="1"/>
  <c r="M71" i="1" s="1"/>
  <c r="M95" i="1" s="1"/>
  <c r="J62" i="1"/>
  <c r="J63" i="1" s="1"/>
  <c r="J71" i="1" s="1"/>
  <c r="J95" i="1" s="1"/>
  <c r="C52" i="1"/>
  <c r="D70" i="1"/>
  <c r="D94" i="1" s="1"/>
  <c r="I62" i="1"/>
  <c r="I63" i="1" s="1"/>
  <c r="I70" i="1" s="1"/>
  <c r="I94" i="1" s="1"/>
  <c r="G62" i="1"/>
  <c r="G63" i="1" s="1"/>
  <c r="G70" i="1" s="1"/>
  <c r="G94" i="1" s="1"/>
  <c r="K62" i="1"/>
  <c r="K63" i="1" s="1"/>
  <c r="K71" i="1" s="1"/>
  <c r="K95" i="1" s="1"/>
  <c r="N62" i="1"/>
  <c r="N63" i="1" s="1"/>
  <c r="N71" i="1" s="1"/>
  <c r="N95" i="1" s="1"/>
  <c r="E62" i="1"/>
  <c r="E63" i="1" s="1"/>
  <c r="E70" i="1" s="1"/>
  <c r="E94" i="1" s="1"/>
  <c r="Q93" i="1"/>
  <c r="R3" i="1"/>
  <c r="Q92" i="1"/>
  <c r="Q88" i="1"/>
  <c r="P62" i="1"/>
  <c r="P63" i="1" s="1"/>
  <c r="R59" i="1" l="1"/>
  <c r="R91" i="1" s="1"/>
  <c r="R61" i="1"/>
  <c r="R93" i="1" s="1"/>
  <c r="R60" i="1"/>
  <c r="M70" i="1"/>
  <c r="M94" i="1" s="1"/>
  <c r="D71" i="1"/>
  <c r="D95" i="1" s="1"/>
  <c r="F71" i="1"/>
  <c r="F95" i="1" s="1"/>
  <c r="L70" i="1"/>
  <c r="L94" i="1" s="1"/>
  <c r="H70" i="1"/>
  <c r="H94" i="1" s="1"/>
  <c r="O70" i="1"/>
  <c r="O94" i="1" s="1"/>
  <c r="J70" i="1"/>
  <c r="J94" i="1" s="1"/>
  <c r="E71" i="1"/>
  <c r="E95" i="1" s="1"/>
  <c r="G71" i="1"/>
  <c r="G95" i="1" s="1"/>
  <c r="K70" i="1"/>
  <c r="K94" i="1" s="1"/>
  <c r="C84" i="1"/>
  <c r="I71" i="1"/>
  <c r="I95" i="1" s="1"/>
  <c r="N70" i="1"/>
  <c r="N94" i="1" s="1"/>
  <c r="P70" i="1"/>
  <c r="P94" i="1" s="1"/>
  <c r="P71" i="1"/>
  <c r="P95" i="1" s="1"/>
  <c r="S3" i="1"/>
  <c r="R88" i="1"/>
  <c r="R92" i="1"/>
  <c r="Q62" i="1"/>
  <c r="Q63" i="1" s="1"/>
  <c r="S59" i="1" l="1"/>
  <c r="S91" i="1" s="1"/>
  <c r="S61" i="1"/>
  <c r="S93" i="1" s="1"/>
  <c r="S60" i="1"/>
  <c r="S92" i="1" s="1"/>
  <c r="R62" i="1"/>
  <c r="R63" i="1" s="1"/>
  <c r="T3" i="1"/>
  <c r="S88" i="1"/>
  <c r="Q71" i="1"/>
  <c r="Q95" i="1" s="1"/>
  <c r="Q70" i="1"/>
  <c r="Q94" i="1" s="1"/>
  <c r="T60" i="1" l="1"/>
  <c r="T92" i="1" s="1"/>
  <c r="T59" i="1"/>
  <c r="T91" i="1" s="1"/>
  <c r="T61" i="1"/>
  <c r="T93" i="1" s="1"/>
  <c r="U3" i="1"/>
  <c r="T88" i="1"/>
  <c r="R70" i="1"/>
  <c r="R94" i="1" s="1"/>
  <c r="R71" i="1"/>
  <c r="R95" i="1" s="1"/>
  <c r="S62" i="1"/>
  <c r="S63" i="1" s="1"/>
  <c r="U60" i="1" l="1"/>
  <c r="U92" i="1" s="1"/>
  <c r="U59" i="1"/>
  <c r="U91" i="1" s="1"/>
  <c r="U61" i="1"/>
  <c r="U93" i="1" s="1"/>
  <c r="S71" i="1"/>
  <c r="S95" i="1" s="1"/>
  <c r="S70" i="1"/>
  <c r="S94" i="1" s="1"/>
  <c r="T62" i="1"/>
  <c r="T63" i="1" s="1"/>
  <c r="U88" i="1"/>
  <c r="V3" i="1"/>
  <c r="V60" i="1" l="1"/>
  <c r="V92" i="1" s="1"/>
  <c r="V61" i="1"/>
  <c r="V93" i="1" s="1"/>
  <c r="V59" i="1"/>
  <c r="V91" i="1" s="1"/>
  <c r="U62" i="1"/>
  <c r="U63" i="1" s="1"/>
  <c r="W3" i="1"/>
  <c r="V88" i="1"/>
  <c r="T70" i="1"/>
  <c r="T94" i="1" s="1"/>
  <c r="T71" i="1"/>
  <c r="T95" i="1" s="1"/>
  <c r="AX39" i="1"/>
  <c r="CE39" i="1"/>
  <c r="CO41" i="1"/>
  <c r="AS40" i="1"/>
  <c r="CX39" i="1"/>
  <c r="AW39" i="1"/>
  <c r="O39" i="1"/>
  <c r="CC40" i="1"/>
  <c r="CL39" i="1"/>
  <c r="CT40" i="1"/>
  <c r="CW40" i="1"/>
  <c r="CQ40" i="1"/>
  <c r="CH38" i="1"/>
  <c r="AM41" i="1"/>
  <c r="T41" i="1"/>
  <c r="BQ41" i="1"/>
  <c r="M38" i="1"/>
  <c r="AM38" i="1"/>
  <c r="BR41" i="1"/>
  <c r="CP41" i="1"/>
  <c r="M40" i="1"/>
  <c r="Z38" i="1"/>
  <c r="G39" i="1"/>
  <c r="CY41" i="1"/>
  <c r="BK38" i="1"/>
  <c r="AK41" i="1"/>
  <c r="W40" i="1"/>
  <c r="BP38" i="1"/>
  <c r="CM41" i="1"/>
  <c r="AP41" i="1"/>
  <c r="BF38" i="1"/>
  <c r="AK40" i="1"/>
  <c r="BY39" i="1"/>
  <c r="AZ38" i="1"/>
  <c r="CE41" i="1"/>
  <c r="AN40" i="1"/>
  <c r="BN39" i="1"/>
  <c r="T38" i="1"/>
  <c r="CD41" i="1"/>
  <c r="BY41" i="1"/>
  <c r="H41" i="1"/>
  <c r="CT38" i="1"/>
  <c r="AU41" i="1"/>
  <c r="CU40" i="1"/>
  <c r="AT38" i="1"/>
  <c r="BA38" i="1"/>
  <c r="V38" i="1"/>
  <c r="Y39" i="1"/>
  <c r="L40" i="1"/>
  <c r="Q41" i="1"/>
  <c r="BZ38" i="1"/>
  <c r="L41" i="1"/>
  <c r="AK38" i="1"/>
  <c r="M39" i="1"/>
  <c r="N38" i="1"/>
  <c r="AT40" i="1"/>
  <c r="D40" i="1"/>
  <c r="AU40" i="1"/>
  <c r="CX38" i="1"/>
  <c r="AL41" i="1"/>
  <c r="CW38" i="1"/>
  <c r="BS38" i="1"/>
  <c r="BK41" i="1"/>
  <c r="AF39" i="1"/>
  <c r="CN41" i="1"/>
  <c r="CI38" i="1"/>
  <c r="BX38" i="1"/>
  <c r="AS41" i="1"/>
  <c r="L38" i="1"/>
  <c r="CG41" i="1"/>
  <c r="O38" i="1"/>
  <c r="CH39" i="1"/>
  <c r="BA39" i="1"/>
  <c r="BB39" i="1"/>
  <c r="BF41" i="1"/>
  <c r="CL38" i="1"/>
  <c r="CO40" i="1"/>
  <c r="BA41" i="1"/>
  <c r="CI40" i="1"/>
  <c r="F41" i="1"/>
  <c r="AL38" i="1"/>
  <c r="BD38" i="1"/>
  <c r="V40" i="1"/>
  <c r="BP41" i="1"/>
  <c r="CR40" i="1"/>
  <c r="BB38" i="1"/>
  <c r="CG39" i="1"/>
  <c r="AV40" i="1"/>
  <c r="BH41" i="1"/>
  <c r="CU38" i="1"/>
  <c r="N39" i="1"/>
  <c r="BQ39" i="1"/>
  <c r="AL40" i="1"/>
  <c r="CA39" i="1"/>
  <c r="W39" i="1"/>
  <c r="K39" i="1"/>
  <c r="BM41" i="1"/>
  <c r="BR40" i="1"/>
  <c r="AF40" i="1"/>
  <c r="AU38" i="1"/>
  <c r="CM40" i="1"/>
  <c r="AG38" i="1"/>
  <c r="AN38" i="1"/>
  <c r="AY40" i="1"/>
  <c r="CU41" i="1"/>
  <c r="AH38" i="1"/>
  <c r="CK40" i="1"/>
  <c r="CO39" i="1"/>
  <c r="BJ40" i="1"/>
  <c r="V39" i="1"/>
  <c r="X38" i="1"/>
  <c r="AP40" i="1"/>
  <c r="BT38" i="1"/>
  <c r="Q38" i="1"/>
  <c r="J38" i="1"/>
  <c r="AT41" i="1"/>
  <c r="AO40" i="1"/>
  <c r="S38" i="1"/>
  <c r="K41" i="1"/>
  <c r="CK39" i="1"/>
  <c r="CN39" i="1"/>
  <c r="BC41" i="1"/>
  <c r="BZ41" i="1"/>
  <c r="CA41" i="1"/>
  <c r="AA40" i="1"/>
  <c r="CR39" i="1"/>
  <c r="BC40" i="1"/>
  <c r="CS39" i="1"/>
  <c r="BH38" i="1"/>
  <c r="CG38" i="1"/>
  <c r="AD39" i="1"/>
  <c r="BN40" i="1"/>
  <c r="BO38" i="1"/>
  <c r="O40" i="1"/>
  <c r="BH40" i="1"/>
  <c r="AS38" i="1"/>
  <c r="AY38" i="1"/>
  <c r="CN38" i="1"/>
  <c r="CP40" i="1"/>
  <c r="D41" i="1"/>
  <c r="CJ41" i="1"/>
  <c r="BJ38" i="1"/>
  <c r="H39" i="1"/>
  <c r="CG40" i="1"/>
  <c r="BV41" i="1"/>
  <c r="AE38" i="1"/>
  <c r="CX41" i="1"/>
  <c r="BQ40" i="1"/>
  <c r="AW38" i="1"/>
  <c r="CX40" i="1"/>
  <c r="X40" i="1"/>
  <c r="BM40" i="1"/>
  <c r="CL41" i="1"/>
  <c r="CK38" i="1"/>
  <c r="AV39" i="1"/>
  <c r="BD41" i="1"/>
  <c r="BK40" i="1"/>
  <c r="X39" i="1"/>
  <c r="CW39" i="1"/>
  <c r="U39" i="1"/>
  <c r="CJ40" i="1"/>
  <c r="BW38" i="1"/>
  <c r="AH39" i="1"/>
  <c r="BN41" i="1"/>
  <c r="CF40" i="1"/>
  <c r="Z40" i="1"/>
  <c r="BV40" i="1"/>
  <c r="G40" i="1"/>
  <c r="AC41" i="1"/>
  <c r="BS39" i="1"/>
  <c r="BO40" i="1"/>
  <c r="BT39" i="1"/>
  <c r="Q39" i="1"/>
  <c r="BI41" i="1"/>
  <c r="E41" i="1"/>
  <c r="H38" i="1"/>
  <c r="AX40" i="1"/>
  <c r="BV39" i="1"/>
  <c r="BU39" i="1"/>
  <c r="BZ39" i="1"/>
  <c r="AE41" i="1"/>
  <c r="AK39" i="1"/>
  <c r="R41" i="1"/>
  <c r="AH41" i="1"/>
  <c r="AO41" i="1"/>
  <c r="BP39" i="1"/>
  <c r="CQ41" i="1"/>
  <c r="R40" i="1"/>
  <c r="CF41" i="1"/>
  <c r="CC41" i="1"/>
  <c r="X41" i="1"/>
  <c r="AS39" i="1"/>
  <c r="BJ41" i="1"/>
  <c r="BD40" i="1"/>
  <c r="CE38" i="1"/>
  <c r="AB40" i="1"/>
  <c r="AO38" i="1"/>
  <c r="CY40" i="1"/>
  <c r="BT40" i="1"/>
  <c r="CJ39" i="1"/>
  <c r="AE40" i="1"/>
  <c r="CD39" i="1"/>
  <c r="CT41" i="1"/>
  <c r="AW41" i="1"/>
  <c r="U41" i="1"/>
  <c r="BL41" i="1"/>
  <c r="BT41" i="1"/>
  <c r="BE38" i="1"/>
  <c r="M41" i="1"/>
  <c r="AL39" i="1"/>
  <c r="AM39" i="1"/>
  <c r="CI39" i="1"/>
  <c r="AZ40" i="1"/>
  <c r="AV38" i="1"/>
  <c r="P39" i="1"/>
  <c r="AI39" i="1"/>
  <c r="AY41" i="1"/>
  <c r="BD39" i="1"/>
  <c r="AC38" i="1"/>
  <c r="AY39" i="1"/>
  <c r="R39" i="1"/>
  <c r="BY40" i="1"/>
  <c r="AQ40" i="1"/>
  <c r="CQ38" i="1"/>
  <c r="CV41" i="1"/>
  <c r="AT39" i="1"/>
  <c r="CS38" i="1"/>
  <c r="AQ38" i="1"/>
  <c r="N41" i="1"/>
  <c r="BQ38" i="1"/>
  <c r="CU39" i="1"/>
  <c r="BV38" i="1"/>
  <c r="AC39" i="1"/>
  <c r="I39" i="1"/>
  <c r="BE41" i="1"/>
  <c r="AG39" i="1"/>
  <c r="Y38" i="1"/>
  <c r="Y40" i="1"/>
  <c r="U38" i="1"/>
  <c r="AI38" i="1"/>
  <c r="CQ39" i="1"/>
  <c r="F38" i="1"/>
  <c r="AM40" i="1"/>
  <c r="BK39" i="1"/>
  <c r="AR39" i="1"/>
  <c r="CH41" i="1"/>
  <c r="BG41" i="1"/>
  <c r="AX41" i="1"/>
  <c r="AJ40" i="1"/>
  <c r="BO39" i="1"/>
  <c r="BW40" i="1"/>
  <c r="P40" i="1"/>
  <c r="AV41" i="1"/>
  <c r="BL39" i="1"/>
  <c r="W41" i="1"/>
  <c r="CV38" i="1"/>
  <c r="S41" i="1"/>
  <c r="H40" i="1"/>
  <c r="AB38" i="1"/>
  <c r="G41" i="1"/>
  <c r="Z39" i="1"/>
  <c r="BZ40" i="1"/>
  <c r="S39" i="1"/>
  <c r="CB39" i="1"/>
  <c r="S40" i="1"/>
  <c r="I41" i="1"/>
  <c r="CN40" i="1"/>
  <c r="AD41" i="1"/>
  <c r="BY38" i="1"/>
  <c r="CJ38" i="1"/>
  <c r="P41" i="1"/>
  <c r="Q40" i="1"/>
  <c r="G38" i="1"/>
  <c r="AG40" i="1"/>
  <c r="AI41" i="1"/>
  <c r="BB41" i="1"/>
  <c r="CL40" i="1"/>
  <c r="BW41" i="1"/>
  <c r="CW41" i="1"/>
  <c r="CR41" i="1"/>
  <c r="L39" i="1"/>
  <c r="CC38" i="1"/>
  <c r="AP39" i="1"/>
  <c r="AJ39" i="1"/>
  <c r="BL40" i="1"/>
  <c r="D38" i="1"/>
  <c r="D39" i="1"/>
  <c r="AZ39" i="1"/>
  <c r="U40" i="1"/>
  <c r="CA38" i="1"/>
  <c r="V41" i="1"/>
  <c r="BO41" i="1"/>
  <c r="CP39" i="1"/>
  <c r="CY38" i="1"/>
  <c r="E40" i="1"/>
  <c r="BI40" i="1"/>
  <c r="AA41" i="1"/>
  <c r="BS40" i="1"/>
  <c r="T39" i="1"/>
  <c r="BW39" i="1"/>
  <c r="AQ39" i="1"/>
  <c r="O41" i="1"/>
  <c r="R38" i="1"/>
  <c r="CF38" i="1"/>
  <c r="CC39" i="1"/>
  <c r="CK41" i="1"/>
  <c r="CD40" i="1"/>
  <c r="AQ41" i="1"/>
  <c r="AB41" i="1"/>
  <c r="CB40" i="1"/>
  <c r="J41" i="1"/>
  <c r="AA38" i="1"/>
  <c r="AR41" i="1"/>
  <c r="I40" i="1"/>
  <c r="AB39" i="1"/>
  <c r="BS41" i="1"/>
  <c r="BG38" i="1"/>
  <c r="BG39" i="1"/>
  <c r="AI40" i="1"/>
  <c r="K40" i="1"/>
  <c r="BU41" i="1"/>
  <c r="CM39" i="1"/>
  <c r="CV40" i="1"/>
  <c r="CI41" i="1"/>
  <c r="BR39" i="1"/>
  <c r="K38" i="1"/>
  <c r="BJ39" i="1"/>
  <c r="AO39" i="1"/>
  <c r="BF39" i="1"/>
  <c r="AJ38" i="1"/>
  <c r="E38" i="1"/>
  <c r="BL38" i="1"/>
  <c r="CP38" i="1"/>
  <c r="CM38" i="1"/>
  <c r="AN41" i="1"/>
  <c r="BG40" i="1"/>
  <c r="Y41" i="1"/>
  <c r="AP38" i="1"/>
  <c r="BX39" i="1"/>
  <c r="AF38" i="1"/>
  <c r="CT39" i="1"/>
  <c r="BF40" i="1"/>
  <c r="N40" i="1"/>
  <c r="W38" i="1"/>
  <c r="P38" i="1"/>
  <c r="AE39" i="1"/>
  <c r="BU38" i="1"/>
  <c r="BN38" i="1"/>
  <c r="BI38" i="1"/>
  <c r="AX38" i="1"/>
  <c r="AJ41" i="1"/>
  <c r="AW40" i="1"/>
  <c r="BA40" i="1"/>
  <c r="AN39" i="1"/>
  <c r="BB40" i="1"/>
  <c r="CE40" i="1"/>
  <c r="AA39" i="1"/>
  <c r="AF41" i="1"/>
  <c r="J39" i="1"/>
  <c r="CH40" i="1"/>
  <c r="AD40" i="1"/>
  <c r="F40" i="1"/>
  <c r="BM38" i="1"/>
  <c r="CV39" i="1"/>
  <c r="AR40" i="1"/>
  <c r="BH39" i="1"/>
  <c r="AH40" i="1"/>
  <c r="CO38" i="1"/>
  <c r="I38" i="1"/>
  <c r="CB38" i="1"/>
  <c r="T40" i="1"/>
  <c r="AR38" i="1"/>
  <c r="Z41" i="1"/>
  <c r="AC40" i="1"/>
  <c r="BI39" i="1"/>
  <c r="BR38" i="1"/>
  <c r="AZ41" i="1"/>
  <c r="BM39" i="1"/>
  <c r="E39" i="1"/>
  <c r="AG41" i="1"/>
  <c r="F39" i="1"/>
  <c r="BU40" i="1"/>
  <c r="AU39" i="1"/>
  <c r="J40" i="1"/>
  <c r="CY39" i="1"/>
  <c r="CF39" i="1"/>
  <c r="BC39" i="1"/>
  <c r="CR38" i="1"/>
  <c r="BE40" i="1"/>
  <c r="CA40" i="1"/>
  <c r="BC38" i="1"/>
  <c r="CB41" i="1"/>
  <c r="BP40" i="1"/>
  <c r="BE39" i="1"/>
  <c r="CS41" i="1"/>
  <c r="BX40" i="1"/>
  <c r="CD38" i="1"/>
  <c r="AD38" i="1"/>
  <c r="BX41" i="1"/>
  <c r="CS40" i="1"/>
  <c r="BL42" i="1" l="1"/>
  <c r="BL43" i="1" s="1"/>
  <c r="BL67" i="1" s="1"/>
  <c r="BL80" i="1" s="1"/>
  <c r="BV42" i="1"/>
  <c r="BV43" i="1" s="1"/>
  <c r="BV68" i="1" s="1"/>
  <c r="BV81" i="1" s="1"/>
  <c r="CY42" i="1"/>
  <c r="CY43" i="1" s="1"/>
  <c r="CY67" i="1" s="1"/>
  <c r="CY80" i="1" s="1"/>
  <c r="AN42" i="1"/>
  <c r="AN43" i="1" s="1"/>
  <c r="BO42" i="1"/>
  <c r="BO43" i="1" s="1"/>
  <c r="BO68" i="1" s="1"/>
  <c r="BO81" i="1" s="1"/>
  <c r="AA42" i="1"/>
  <c r="AA43" i="1" s="1"/>
  <c r="BY42" i="1"/>
  <c r="BY43" i="1" s="1"/>
  <c r="BY68" i="1" s="1"/>
  <c r="BY81" i="1" s="1"/>
  <c r="AV42" i="1"/>
  <c r="AV43" i="1" s="1"/>
  <c r="CQ42" i="1"/>
  <c r="CQ43" i="1" s="1"/>
  <c r="AU42" i="1"/>
  <c r="AU43" i="1" s="1"/>
  <c r="AU68" i="1" s="1"/>
  <c r="AU81" i="1" s="1"/>
  <c r="J42" i="1"/>
  <c r="J43" i="1" s="1"/>
  <c r="J67" i="1" s="1"/>
  <c r="J80" i="1" s="1"/>
  <c r="J97" i="1" s="1"/>
  <c r="W42" i="1"/>
  <c r="W43" i="1" s="1"/>
  <c r="W67" i="1" s="1"/>
  <c r="W80" i="1" s="1"/>
  <c r="CT42" i="1"/>
  <c r="CT43" i="1" s="1"/>
  <c r="CT68" i="1" s="1"/>
  <c r="CT81" i="1" s="1"/>
  <c r="CW42" i="1"/>
  <c r="CW43" i="1" s="1"/>
  <c r="CW67" i="1" s="1"/>
  <c r="CW80" i="1" s="1"/>
  <c r="C40" i="1"/>
  <c r="T42" i="1"/>
  <c r="T43" i="1" s="1"/>
  <c r="T68" i="1" s="1"/>
  <c r="T81" i="1" s="1"/>
  <c r="T98" i="1" s="1"/>
  <c r="BJ42" i="1"/>
  <c r="BJ43" i="1" s="1"/>
  <c r="BJ67" i="1" s="1"/>
  <c r="BJ80" i="1" s="1"/>
  <c r="BK42" i="1"/>
  <c r="BK43" i="1" s="1"/>
  <c r="BK67" i="1" s="1"/>
  <c r="BK80" i="1" s="1"/>
  <c r="BZ42" i="1"/>
  <c r="BZ43" i="1" s="1"/>
  <c r="BZ67" i="1" s="1"/>
  <c r="BZ80" i="1" s="1"/>
  <c r="CC42" i="1"/>
  <c r="CC43" i="1" s="1"/>
  <c r="CC68" i="1" s="1"/>
  <c r="CC81" i="1" s="1"/>
  <c r="CK42" i="1"/>
  <c r="CK43" i="1" s="1"/>
  <c r="CK68" i="1" s="1"/>
  <c r="CK81" i="1" s="1"/>
  <c r="BR42" i="1"/>
  <c r="BR43" i="1" s="1"/>
  <c r="BR68" i="1" s="1"/>
  <c r="BR81" i="1" s="1"/>
  <c r="BS42" i="1"/>
  <c r="BS43" i="1" s="1"/>
  <c r="BS67" i="1" s="1"/>
  <c r="BS80" i="1" s="1"/>
  <c r="V42" i="1"/>
  <c r="V43" i="1" s="1"/>
  <c r="V67" i="1" s="1"/>
  <c r="V80" i="1" s="1"/>
  <c r="CD42" i="1"/>
  <c r="CD43" i="1" s="1"/>
  <c r="BW42" i="1"/>
  <c r="BW43" i="1" s="1"/>
  <c r="BW68" i="1" s="1"/>
  <c r="BW81" i="1" s="1"/>
  <c r="AP42" i="1"/>
  <c r="AP43" i="1" s="1"/>
  <c r="AP67" i="1" s="1"/>
  <c r="AP80" i="1" s="1"/>
  <c r="BQ42" i="1"/>
  <c r="BQ43" i="1" s="1"/>
  <c r="BQ68" i="1" s="1"/>
  <c r="BQ81" i="1" s="1"/>
  <c r="AE42" i="1"/>
  <c r="AE43" i="1" s="1"/>
  <c r="AE67" i="1" s="1"/>
  <c r="AE80" i="1" s="1"/>
  <c r="BX42" i="1"/>
  <c r="BX43" i="1" s="1"/>
  <c r="BX68" i="1" s="1"/>
  <c r="BX81" i="1" s="1"/>
  <c r="S42" i="1"/>
  <c r="S43" i="1" s="1"/>
  <c r="S68" i="1" s="1"/>
  <c r="S81" i="1" s="1"/>
  <c r="S98" i="1" s="1"/>
  <c r="AM42" i="1"/>
  <c r="AM43" i="1" s="1"/>
  <c r="AM68" i="1" s="1"/>
  <c r="AM81" i="1" s="1"/>
  <c r="Q42" i="1"/>
  <c r="Q43" i="1" s="1"/>
  <c r="Q68" i="1" s="1"/>
  <c r="Q81" i="1" s="1"/>
  <c r="Q98" i="1" s="1"/>
  <c r="AX42" i="1"/>
  <c r="AX43" i="1" s="1"/>
  <c r="AX67" i="1" s="1"/>
  <c r="AX80" i="1" s="1"/>
  <c r="AI42" i="1"/>
  <c r="AI43" i="1" s="1"/>
  <c r="AI67" i="1" s="1"/>
  <c r="AI80" i="1" s="1"/>
  <c r="AG42" i="1"/>
  <c r="AG43" i="1" s="1"/>
  <c r="AG68" i="1" s="1"/>
  <c r="AG81" i="1" s="1"/>
  <c r="BP42" i="1"/>
  <c r="BP43" i="1" s="1"/>
  <c r="CH42" i="1"/>
  <c r="CH43" i="1" s="1"/>
  <c r="CH68" i="1" s="1"/>
  <c r="CH81" i="1" s="1"/>
  <c r="CP42" i="1"/>
  <c r="CP43" i="1" s="1"/>
  <c r="CP68" i="1" s="1"/>
  <c r="CP81" i="1" s="1"/>
  <c r="AZ42" i="1"/>
  <c r="AZ43" i="1" s="1"/>
  <c r="AZ67" i="1" s="1"/>
  <c r="AZ80" i="1" s="1"/>
  <c r="CV42" i="1"/>
  <c r="CV43" i="1" s="1"/>
  <c r="AO42" i="1"/>
  <c r="AO43" i="1" s="1"/>
  <c r="AO67" i="1" s="1"/>
  <c r="AO80" i="1" s="1"/>
  <c r="BA42" i="1"/>
  <c r="BA43" i="1" s="1"/>
  <c r="BA67" i="1" s="1"/>
  <c r="BA80" i="1" s="1"/>
  <c r="CI42" i="1"/>
  <c r="CI43" i="1" s="1"/>
  <c r="CI67" i="1" s="1"/>
  <c r="CI80" i="1" s="1"/>
  <c r="CA42" i="1"/>
  <c r="CA43" i="1" s="1"/>
  <c r="CA68" i="1" s="1"/>
  <c r="CA81" i="1" s="1"/>
  <c r="G42" i="1"/>
  <c r="G43" i="1" s="1"/>
  <c r="G68" i="1" s="1"/>
  <c r="G81" i="1" s="1"/>
  <c r="G98" i="1" s="1"/>
  <c r="CG42" i="1"/>
  <c r="CG43" i="1" s="1"/>
  <c r="CG67" i="1" s="1"/>
  <c r="CG80" i="1" s="1"/>
  <c r="M42" i="1"/>
  <c r="M43" i="1" s="1"/>
  <c r="M68" i="1" s="1"/>
  <c r="M81" i="1" s="1"/>
  <c r="M98" i="1" s="1"/>
  <c r="BT42" i="1"/>
  <c r="BT43" i="1" s="1"/>
  <c r="BT67" i="1" s="1"/>
  <c r="BT80" i="1" s="1"/>
  <c r="BI42" i="1"/>
  <c r="BI43" i="1" s="1"/>
  <c r="BI68" i="1" s="1"/>
  <c r="BI81" i="1" s="1"/>
  <c r="U42" i="1"/>
  <c r="U43" i="1" s="1"/>
  <c r="U68" i="1" s="1"/>
  <c r="U81" i="1" s="1"/>
  <c r="N42" i="1"/>
  <c r="N43" i="1" s="1"/>
  <c r="N68" i="1" s="1"/>
  <c r="N81" i="1" s="1"/>
  <c r="N98" i="1" s="1"/>
  <c r="E42" i="1"/>
  <c r="E43" i="1" s="1"/>
  <c r="C41" i="1"/>
  <c r="P42" i="1"/>
  <c r="P43" i="1" s="1"/>
  <c r="P67" i="1" s="1"/>
  <c r="P80" i="1" s="1"/>
  <c r="P97" i="1" s="1"/>
  <c r="CB42" i="1"/>
  <c r="CB43" i="1" s="1"/>
  <c r="CB68" i="1" s="1"/>
  <c r="CB81" i="1" s="1"/>
  <c r="R42" i="1"/>
  <c r="R43" i="1" s="1"/>
  <c r="BD42" i="1"/>
  <c r="BD43" i="1" s="1"/>
  <c r="BD68" i="1" s="1"/>
  <c r="BD81" i="1" s="1"/>
  <c r="BE42" i="1"/>
  <c r="BE43" i="1" s="1"/>
  <c r="BE68" i="1" s="1"/>
  <c r="BE81" i="1" s="1"/>
  <c r="CJ42" i="1"/>
  <c r="CJ43" i="1" s="1"/>
  <c r="CJ68" i="1" s="1"/>
  <c r="CJ81" i="1" s="1"/>
  <c r="K42" i="1"/>
  <c r="K43" i="1" s="1"/>
  <c r="K68" i="1" s="1"/>
  <c r="K81" i="1" s="1"/>
  <c r="K98" i="1" s="1"/>
  <c r="AT42" i="1"/>
  <c r="AT43" i="1" s="1"/>
  <c r="AT68" i="1" s="1"/>
  <c r="AT81" i="1" s="1"/>
  <c r="C38" i="1"/>
  <c r="D42" i="1"/>
  <c r="D43" i="1" s="1"/>
  <c r="D67" i="1" s="1"/>
  <c r="D80" i="1" s="1"/>
  <c r="D97" i="1" s="1"/>
  <c r="AD42" i="1"/>
  <c r="AD43" i="1" s="1"/>
  <c r="AD67" i="1" s="1"/>
  <c r="AD80" i="1" s="1"/>
  <c r="BB42" i="1"/>
  <c r="BB43" i="1" s="1"/>
  <c r="AQ42" i="1"/>
  <c r="AQ43" i="1" s="1"/>
  <c r="AQ67" i="1" s="1"/>
  <c r="AQ80" i="1" s="1"/>
  <c r="BH42" i="1"/>
  <c r="BH43" i="1" s="1"/>
  <c r="BH68" i="1" s="1"/>
  <c r="BH81" i="1" s="1"/>
  <c r="BN42" i="1"/>
  <c r="BN43" i="1" s="1"/>
  <c r="BN67" i="1" s="1"/>
  <c r="BN80" i="1" s="1"/>
  <c r="O42" i="1"/>
  <c r="O43" i="1" s="1"/>
  <c r="O68" i="1" s="1"/>
  <c r="O81" i="1" s="1"/>
  <c r="O98" i="1" s="1"/>
  <c r="CX42" i="1"/>
  <c r="CX43" i="1" s="1"/>
  <c r="CX67" i="1" s="1"/>
  <c r="CX80" i="1" s="1"/>
  <c r="Z42" i="1"/>
  <c r="Z43" i="1" s="1"/>
  <c r="Z67" i="1" s="1"/>
  <c r="Z80" i="1" s="1"/>
  <c r="I42" i="1"/>
  <c r="I43" i="1" s="1"/>
  <c r="I68" i="1" s="1"/>
  <c r="I81" i="1" s="1"/>
  <c r="I98" i="1" s="1"/>
  <c r="AL42" i="1"/>
  <c r="AL43" i="1" s="1"/>
  <c r="AR42" i="1"/>
  <c r="AR43" i="1" s="1"/>
  <c r="AR67" i="1" s="1"/>
  <c r="AR80" i="1" s="1"/>
  <c r="CL42" i="1"/>
  <c r="CL43" i="1" s="1"/>
  <c r="CL68" i="1" s="1"/>
  <c r="CL81" i="1" s="1"/>
  <c r="CR42" i="1"/>
  <c r="CR43" i="1" s="1"/>
  <c r="CR68" i="1" s="1"/>
  <c r="CR81" i="1" s="1"/>
  <c r="AS42" i="1"/>
  <c r="AS43" i="1" s="1"/>
  <c r="AS67" i="1" s="1"/>
  <c r="AS80" i="1" s="1"/>
  <c r="AB42" i="1"/>
  <c r="AB43" i="1" s="1"/>
  <c r="AB67" i="1" s="1"/>
  <c r="AB80" i="1" s="1"/>
  <c r="CF42" i="1"/>
  <c r="CF43" i="1" s="1"/>
  <c r="CF68" i="1" s="1"/>
  <c r="CF81" i="1" s="1"/>
  <c r="CS42" i="1"/>
  <c r="CS43" i="1" s="1"/>
  <c r="CS68" i="1" s="1"/>
  <c r="CS81" i="1" s="1"/>
  <c r="BM42" i="1"/>
  <c r="BM43" i="1" s="1"/>
  <c r="BM67" i="1" s="1"/>
  <c r="BM80" i="1" s="1"/>
  <c r="AF42" i="1"/>
  <c r="AF43" i="1" s="1"/>
  <c r="X42" i="1"/>
  <c r="X43" i="1" s="1"/>
  <c r="X68" i="1" s="1"/>
  <c r="X81" i="1" s="1"/>
  <c r="BU42" i="1"/>
  <c r="BU43" i="1" s="1"/>
  <c r="BU67" i="1" s="1"/>
  <c r="BU80" i="1" s="1"/>
  <c r="Y42" i="1"/>
  <c r="Y43" i="1" s="1"/>
  <c r="Y68" i="1" s="1"/>
  <c r="Y81" i="1" s="1"/>
  <c r="AK42" i="1"/>
  <c r="AK43" i="1" s="1"/>
  <c r="AK68" i="1" s="1"/>
  <c r="AK81" i="1" s="1"/>
  <c r="H42" i="1"/>
  <c r="H43" i="1" s="1"/>
  <c r="H67" i="1" s="1"/>
  <c r="H80" i="1" s="1"/>
  <c r="H97" i="1" s="1"/>
  <c r="CN42" i="1"/>
  <c r="CN43" i="1" s="1"/>
  <c r="CN67" i="1" s="1"/>
  <c r="CN80" i="1" s="1"/>
  <c r="CO42" i="1"/>
  <c r="CO43" i="1" s="1"/>
  <c r="CO67" i="1" s="1"/>
  <c r="CO80" i="1" s="1"/>
  <c r="CE42" i="1"/>
  <c r="CE43" i="1" s="1"/>
  <c r="CE68" i="1" s="1"/>
  <c r="CE81" i="1" s="1"/>
  <c r="F42" i="1"/>
  <c r="F43" i="1" s="1"/>
  <c r="F67" i="1" s="1"/>
  <c r="F80" i="1" s="1"/>
  <c r="F97" i="1" s="1"/>
  <c r="BF42" i="1"/>
  <c r="BF43" i="1" s="1"/>
  <c r="AJ42" i="1"/>
  <c r="AJ43" i="1" s="1"/>
  <c r="AH42" i="1"/>
  <c r="AH43" i="1" s="1"/>
  <c r="CM42" i="1"/>
  <c r="CM43" i="1" s="1"/>
  <c r="CM68" i="1" s="1"/>
  <c r="CM81" i="1" s="1"/>
  <c r="L42" i="1"/>
  <c r="L43" i="1" s="1"/>
  <c r="L68" i="1" s="1"/>
  <c r="L81" i="1" s="1"/>
  <c r="L98" i="1" s="1"/>
  <c r="CU42" i="1"/>
  <c r="CU43" i="1" s="1"/>
  <c r="CU67" i="1" s="1"/>
  <c r="CU80" i="1" s="1"/>
  <c r="AY42" i="1"/>
  <c r="AY43" i="1" s="1"/>
  <c r="AY68" i="1" s="1"/>
  <c r="AY81" i="1" s="1"/>
  <c r="C39" i="1"/>
  <c r="BC42" i="1"/>
  <c r="BC43" i="1" s="1"/>
  <c r="BC68" i="1" s="1"/>
  <c r="BC81" i="1" s="1"/>
  <c r="BG42" i="1"/>
  <c r="BG43" i="1" s="1"/>
  <c r="BG67" i="1" s="1"/>
  <c r="BG80" i="1" s="1"/>
  <c r="AW42" i="1"/>
  <c r="AW43" i="1" s="1"/>
  <c r="AW68" i="1" s="1"/>
  <c r="AW81" i="1" s="1"/>
  <c r="AC42" i="1"/>
  <c r="AC43" i="1" s="1"/>
  <c r="AC67" i="1" s="1"/>
  <c r="AC80" i="1" s="1"/>
  <c r="W61" i="1"/>
  <c r="W93" i="1" s="1"/>
  <c r="W60" i="1"/>
  <c r="W92" i="1" s="1"/>
  <c r="W59" i="1"/>
  <c r="W91" i="1" s="1"/>
  <c r="U71" i="1"/>
  <c r="U95" i="1" s="1"/>
  <c r="U70" i="1"/>
  <c r="U94" i="1" s="1"/>
  <c r="V62" i="1"/>
  <c r="V63" i="1" s="1"/>
  <c r="W88" i="1"/>
  <c r="X3" i="1"/>
  <c r="CK67" i="1" l="1"/>
  <c r="CK80" i="1" s="1"/>
  <c r="BR67" i="1"/>
  <c r="BR80" i="1" s="1"/>
  <c r="BX67" i="1"/>
  <c r="BX80" i="1" s="1"/>
  <c r="CT67" i="1"/>
  <c r="CT80" i="1" s="1"/>
  <c r="K74" i="1"/>
  <c r="BC67" i="1"/>
  <c r="BC80" i="1" s="1"/>
  <c r="K67" i="1"/>
  <c r="K80" i="1" s="1"/>
  <c r="K97" i="1" s="1"/>
  <c r="CR67" i="1"/>
  <c r="CR80" i="1" s="1"/>
  <c r="BJ68" i="1"/>
  <c r="BJ81" i="1" s="1"/>
  <c r="G74" i="1"/>
  <c r="G67" i="1"/>
  <c r="G80" i="1" s="1"/>
  <c r="G97" i="1" s="1"/>
  <c r="BT68" i="1"/>
  <c r="BT81" i="1" s="1"/>
  <c r="AU67" i="1"/>
  <c r="AU80" i="1" s="1"/>
  <c r="BG68" i="1"/>
  <c r="BG81" i="1" s="1"/>
  <c r="O74" i="1"/>
  <c r="BN68" i="1"/>
  <c r="BN81" i="1" s="1"/>
  <c r="AQ68" i="1"/>
  <c r="AQ81" i="1" s="1"/>
  <c r="AS68" i="1"/>
  <c r="AS81" i="1" s="1"/>
  <c r="N67" i="1"/>
  <c r="N80" i="1" s="1"/>
  <c r="N97" i="1" s="1"/>
  <c r="CO68" i="1"/>
  <c r="CO81" i="1" s="1"/>
  <c r="BL68" i="1"/>
  <c r="BL81" i="1" s="1"/>
  <c r="CC67" i="1"/>
  <c r="CC80" i="1" s="1"/>
  <c r="CE67" i="1"/>
  <c r="CE80" i="1" s="1"/>
  <c r="CJ67" i="1"/>
  <c r="CJ80" i="1" s="1"/>
  <c r="AY67" i="1"/>
  <c r="AY80" i="1" s="1"/>
  <c r="CL67" i="1"/>
  <c r="CL80" i="1" s="1"/>
  <c r="F73" i="1"/>
  <c r="CY68" i="1"/>
  <c r="CY81" i="1" s="1"/>
  <c r="BA68" i="1"/>
  <c r="BA81" i="1" s="1"/>
  <c r="BV67" i="1"/>
  <c r="BV80" i="1" s="1"/>
  <c r="BK68" i="1"/>
  <c r="BK81" i="1" s="1"/>
  <c r="AG67" i="1"/>
  <c r="AG80" i="1" s="1"/>
  <c r="BH67" i="1"/>
  <c r="BH80" i="1" s="1"/>
  <c r="F68" i="1"/>
  <c r="F81" i="1" s="1"/>
  <c r="F98" i="1" s="1"/>
  <c r="CI68" i="1"/>
  <c r="CI81" i="1" s="1"/>
  <c r="CX68" i="1"/>
  <c r="CX81" i="1" s="1"/>
  <c r="W68" i="1"/>
  <c r="W81" i="1" s="1"/>
  <c r="AI68" i="1"/>
  <c r="AI81" i="1" s="1"/>
  <c r="CA67" i="1"/>
  <c r="CA80" i="1" s="1"/>
  <c r="BO67" i="1"/>
  <c r="BO80" i="1" s="1"/>
  <c r="Q67" i="1"/>
  <c r="Q80" i="1" s="1"/>
  <c r="Q97" i="1" s="1"/>
  <c r="BE67" i="1"/>
  <c r="BE80" i="1" s="1"/>
  <c r="AE68" i="1"/>
  <c r="AE81" i="1" s="1"/>
  <c r="Q74" i="1"/>
  <c r="CS67" i="1"/>
  <c r="CS80" i="1" s="1"/>
  <c r="BU68" i="1"/>
  <c r="BU81" i="1" s="1"/>
  <c r="L67" i="1"/>
  <c r="L80" i="1" s="1"/>
  <c r="L97" i="1" s="1"/>
  <c r="O67" i="1"/>
  <c r="O80" i="1" s="1"/>
  <c r="O97" i="1" s="1"/>
  <c r="CN68" i="1"/>
  <c r="CN81" i="1" s="1"/>
  <c r="I67" i="1"/>
  <c r="I80" i="1" s="1"/>
  <c r="I97" i="1" s="1"/>
  <c r="AD68" i="1"/>
  <c r="AD81" i="1" s="1"/>
  <c r="X67" i="1"/>
  <c r="X80" i="1" s="1"/>
  <c r="CW68" i="1"/>
  <c r="CW81" i="1" s="1"/>
  <c r="Y67" i="1"/>
  <c r="Y80" i="1" s="1"/>
  <c r="U67" i="1"/>
  <c r="U80" i="1" s="1"/>
  <c r="U97" i="1" s="1"/>
  <c r="N74" i="1"/>
  <c r="BQ67" i="1"/>
  <c r="BQ80" i="1" s="1"/>
  <c r="AP68" i="1"/>
  <c r="AP81" i="1" s="1"/>
  <c r="BZ68" i="1"/>
  <c r="BZ81" i="1" s="1"/>
  <c r="CH67" i="1"/>
  <c r="CH80" i="1" s="1"/>
  <c r="I74" i="1"/>
  <c r="AT67" i="1"/>
  <c r="AT80" i="1" s="1"/>
  <c r="J68" i="1"/>
  <c r="J81" i="1" s="1"/>
  <c r="J98" i="1" s="1"/>
  <c r="J73" i="1"/>
  <c r="L74" i="1"/>
  <c r="AR68" i="1"/>
  <c r="AR81" i="1" s="1"/>
  <c r="C42" i="1"/>
  <c r="C43" i="1" s="1"/>
  <c r="T67" i="1"/>
  <c r="T80" i="1" s="1"/>
  <c r="T97" i="1" s="1"/>
  <c r="AX68" i="1"/>
  <c r="AX81" i="1" s="1"/>
  <c r="BD67" i="1"/>
  <c r="BD80" i="1" s="1"/>
  <c r="CU68" i="1"/>
  <c r="CU81" i="1" s="1"/>
  <c r="BM68" i="1"/>
  <c r="BM81" i="1" s="1"/>
  <c r="BW67" i="1"/>
  <c r="BW80" i="1" s="1"/>
  <c r="BI67" i="1"/>
  <c r="BI80" i="1" s="1"/>
  <c r="AO68" i="1"/>
  <c r="AO81" i="1" s="1"/>
  <c r="AK67" i="1"/>
  <c r="AK80" i="1" s="1"/>
  <c r="AJ67" i="1"/>
  <c r="AJ80" i="1" s="1"/>
  <c r="AJ68" i="1"/>
  <c r="AJ81" i="1" s="1"/>
  <c r="AA68" i="1"/>
  <c r="AA81" i="1" s="1"/>
  <c r="AA67" i="1"/>
  <c r="AA80" i="1" s="1"/>
  <c r="H73" i="1"/>
  <c r="AM67" i="1"/>
  <c r="AM80" i="1" s="1"/>
  <c r="T74" i="1"/>
  <c r="AC68" i="1"/>
  <c r="AC81" i="1" s="1"/>
  <c r="BS68" i="1"/>
  <c r="BS81" i="1" s="1"/>
  <c r="AZ68" i="1"/>
  <c r="AZ81" i="1" s="1"/>
  <c r="AW67" i="1"/>
  <c r="AW80" i="1" s="1"/>
  <c r="BF68" i="1"/>
  <c r="BF81" i="1" s="1"/>
  <c r="BF67" i="1"/>
  <c r="BF80" i="1" s="1"/>
  <c r="E67" i="1"/>
  <c r="E68" i="1"/>
  <c r="BP68" i="1"/>
  <c r="BP81" i="1" s="1"/>
  <c r="BP67" i="1"/>
  <c r="BP80" i="1" s="1"/>
  <c r="D68" i="1"/>
  <c r="D81" i="1" s="1"/>
  <c r="D98" i="1" s="1"/>
  <c r="M74" i="1"/>
  <c r="CF67" i="1"/>
  <c r="CF80" i="1" s="1"/>
  <c r="AN67" i="1"/>
  <c r="AN80" i="1" s="1"/>
  <c r="AN68" i="1"/>
  <c r="AN81" i="1" s="1"/>
  <c r="AF67" i="1"/>
  <c r="AF80" i="1" s="1"/>
  <c r="AF68" i="1"/>
  <c r="AF81" i="1" s="1"/>
  <c r="AV67" i="1"/>
  <c r="AV80" i="1" s="1"/>
  <c r="AV68" i="1"/>
  <c r="AV81" i="1" s="1"/>
  <c r="Z68" i="1"/>
  <c r="Z81" i="1" s="1"/>
  <c r="AH67" i="1"/>
  <c r="AH80" i="1" s="1"/>
  <c r="AH68" i="1"/>
  <c r="AH81" i="1" s="1"/>
  <c r="CM67" i="1"/>
  <c r="CM80" i="1" s="1"/>
  <c r="V68" i="1"/>
  <c r="V81" i="1" s="1"/>
  <c r="AB68" i="1"/>
  <c r="AB81" i="1" s="1"/>
  <c r="D73" i="1"/>
  <c r="CG68" i="1"/>
  <c r="CG81" i="1" s="1"/>
  <c r="S74" i="1"/>
  <c r="CB67" i="1"/>
  <c r="CB80" i="1" s="1"/>
  <c r="CP67" i="1"/>
  <c r="CP80" i="1" s="1"/>
  <c r="AL68" i="1"/>
  <c r="AL81" i="1" s="1"/>
  <c r="AL67" i="1"/>
  <c r="AL80" i="1" s="1"/>
  <c r="BB68" i="1"/>
  <c r="BB81" i="1" s="1"/>
  <c r="BB67" i="1"/>
  <c r="BB80" i="1" s="1"/>
  <c r="P68" i="1"/>
  <c r="P81" i="1" s="1"/>
  <c r="P98" i="1" s="1"/>
  <c r="M67" i="1"/>
  <c r="M80" i="1" s="1"/>
  <c r="M97" i="1" s="1"/>
  <c r="S67" i="1"/>
  <c r="S80" i="1" s="1"/>
  <c r="S97" i="1" s="1"/>
  <c r="P73" i="1"/>
  <c r="H68" i="1"/>
  <c r="H81" i="1" s="1"/>
  <c r="H98" i="1" s="1"/>
  <c r="BY67" i="1"/>
  <c r="BY80" i="1" s="1"/>
  <c r="R67" i="1"/>
  <c r="R68" i="1"/>
  <c r="CV67" i="1"/>
  <c r="CV80" i="1" s="1"/>
  <c r="CV68" i="1"/>
  <c r="CV81" i="1" s="1"/>
  <c r="CD68" i="1"/>
  <c r="CD81" i="1" s="1"/>
  <c r="CD67" i="1"/>
  <c r="CD80" i="1" s="1"/>
  <c r="CQ67" i="1"/>
  <c r="CQ80" i="1" s="1"/>
  <c r="CQ68" i="1"/>
  <c r="CQ81" i="1" s="1"/>
  <c r="X61" i="1"/>
  <c r="X93" i="1" s="1"/>
  <c r="X60" i="1"/>
  <c r="X92" i="1" s="1"/>
  <c r="X59" i="1"/>
  <c r="X91" i="1" s="1"/>
  <c r="V70" i="1"/>
  <c r="V94" i="1" s="1"/>
  <c r="V71" i="1"/>
  <c r="V95" i="1" s="1"/>
  <c r="X88" i="1"/>
  <c r="Y3" i="1"/>
  <c r="W62" i="1"/>
  <c r="W63" i="1" s="1"/>
  <c r="U98" i="1"/>
  <c r="U74" i="1"/>
  <c r="C67" i="1" l="1"/>
  <c r="K73" i="1"/>
  <c r="L73" i="1"/>
  <c r="O73" i="1"/>
  <c r="G73" i="1"/>
  <c r="T73" i="1"/>
  <c r="N73" i="1"/>
  <c r="F74" i="1"/>
  <c r="S73" i="1"/>
  <c r="D74" i="1"/>
  <c r="I73" i="1"/>
  <c r="Q73" i="1"/>
  <c r="U73" i="1"/>
  <c r="H74" i="1"/>
  <c r="J74" i="1"/>
  <c r="C68" i="1"/>
  <c r="E80" i="1"/>
  <c r="E73" i="1"/>
  <c r="R81" i="1"/>
  <c r="R98" i="1" s="1"/>
  <c r="R74" i="1"/>
  <c r="M73" i="1"/>
  <c r="P74" i="1"/>
  <c r="R80" i="1"/>
  <c r="R97" i="1" s="1"/>
  <c r="R73" i="1"/>
  <c r="E81" i="1"/>
  <c r="E98" i="1" s="1"/>
  <c r="E74" i="1"/>
  <c r="Y59" i="1"/>
  <c r="Y91" i="1" s="1"/>
  <c r="Y61" i="1"/>
  <c r="Y93" i="1" s="1"/>
  <c r="Y60" i="1"/>
  <c r="Y92" i="1" s="1"/>
  <c r="Z3" i="1"/>
  <c r="Y88" i="1"/>
  <c r="V98" i="1"/>
  <c r="V74" i="1"/>
  <c r="W71" i="1"/>
  <c r="W95" i="1" s="1"/>
  <c r="W70" i="1"/>
  <c r="W94" i="1" s="1"/>
  <c r="X62" i="1"/>
  <c r="X63" i="1" s="1"/>
  <c r="V97" i="1"/>
  <c r="V73" i="1"/>
  <c r="C81" i="1" l="1"/>
  <c r="E97" i="1"/>
  <c r="C80" i="1"/>
  <c r="Z59" i="1"/>
  <c r="Z91" i="1" s="1"/>
  <c r="Z61" i="1"/>
  <c r="Z93" i="1" s="1"/>
  <c r="Z60" i="1"/>
  <c r="Z92" i="1" s="1"/>
  <c r="W98" i="1"/>
  <c r="W74" i="1"/>
  <c r="X70" i="1"/>
  <c r="X94" i="1" s="1"/>
  <c r="X71" i="1"/>
  <c r="X95" i="1" s="1"/>
  <c r="AA3" i="1"/>
  <c r="Z88" i="1"/>
  <c r="W97" i="1"/>
  <c r="W73" i="1"/>
  <c r="Y62" i="1"/>
  <c r="Y63" i="1" s="1"/>
  <c r="AA59" i="1" l="1"/>
  <c r="AA91" i="1" s="1"/>
  <c r="AA61" i="1"/>
  <c r="AA93" i="1" s="1"/>
  <c r="AA60" i="1"/>
  <c r="AA92" i="1" s="1"/>
  <c r="Z62" i="1"/>
  <c r="Z63" i="1" s="1"/>
  <c r="X98" i="1"/>
  <c r="X74" i="1"/>
  <c r="X97" i="1"/>
  <c r="X73" i="1"/>
  <c r="Y70" i="1"/>
  <c r="Y94" i="1" s="1"/>
  <c r="Y71" i="1"/>
  <c r="Y95" i="1" s="1"/>
  <c r="AB3" i="1"/>
  <c r="AA88" i="1"/>
  <c r="AB60" i="1" l="1"/>
  <c r="AB92" i="1" s="1"/>
  <c r="AB59" i="1"/>
  <c r="AB91" i="1" s="1"/>
  <c r="AB61" i="1"/>
  <c r="AB93" i="1" s="1"/>
  <c r="Y98" i="1"/>
  <c r="Y74" i="1"/>
  <c r="AA62" i="1"/>
  <c r="AA63" i="1" s="1"/>
  <c r="Y97" i="1"/>
  <c r="Y73" i="1"/>
  <c r="Z71" i="1"/>
  <c r="Z95" i="1" s="1"/>
  <c r="Z70" i="1"/>
  <c r="Z94" i="1" s="1"/>
  <c r="AC3" i="1"/>
  <c r="AB88" i="1"/>
  <c r="AC60" i="1" l="1"/>
  <c r="AC92" i="1" s="1"/>
  <c r="AC59" i="1"/>
  <c r="AC91" i="1" s="1"/>
  <c r="AC61" i="1"/>
  <c r="AC93" i="1" s="1"/>
  <c r="AB62" i="1"/>
  <c r="AB63" i="1" s="1"/>
  <c r="Z73" i="1"/>
  <c r="Z97" i="1"/>
  <c r="AA71" i="1"/>
  <c r="AA95" i="1" s="1"/>
  <c r="AA70" i="1"/>
  <c r="AA94" i="1" s="1"/>
  <c r="Z98" i="1"/>
  <c r="Z74" i="1"/>
  <c r="AC88" i="1"/>
  <c r="AD3" i="1"/>
  <c r="AD60" i="1" l="1"/>
  <c r="AD92" i="1" s="1"/>
  <c r="AD59" i="1"/>
  <c r="AD91" i="1" s="1"/>
  <c r="AD61" i="1"/>
  <c r="AD93" i="1" s="1"/>
  <c r="AC62" i="1"/>
  <c r="AC63" i="1" s="1"/>
  <c r="AA97" i="1"/>
  <c r="AA73" i="1"/>
  <c r="AB70" i="1"/>
  <c r="AB94" i="1" s="1"/>
  <c r="AB71" i="1"/>
  <c r="AB95" i="1" s="1"/>
  <c r="AD88" i="1"/>
  <c r="AE3" i="1"/>
  <c r="AA98" i="1"/>
  <c r="AA74" i="1"/>
  <c r="AE61" i="1" l="1"/>
  <c r="AE93" i="1" s="1"/>
  <c r="AE60" i="1"/>
  <c r="AE92" i="1" s="1"/>
  <c r="AE59" i="1"/>
  <c r="AE91" i="1" s="1"/>
  <c r="AD62" i="1"/>
  <c r="AD63" i="1" s="1"/>
  <c r="AB98" i="1"/>
  <c r="AB74" i="1"/>
  <c r="AC70" i="1"/>
  <c r="AC94" i="1" s="1"/>
  <c r="AC71" i="1"/>
  <c r="AC95" i="1" s="1"/>
  <c r="AE88" i="1"/>
  <c r="AF3" i="1"/>
  <c r="AB97" i="1"/>
  <c r="AB73" i="1"/>
  <c r="AF61" i="1" l="1"/>
  <c r="AF93" i="1" s="1"/>
  <c r="AF60" i="1"/>
  <c r="AF92" i="1" s="1"/>
  <c r="AF59" i="1"/>
  <c r="AF91" i="1" s="1"/>
  <c r="AG3" i="1"/>
  <c r="AF88" i="1"/>
  <c r="AC74" i="1"/>
  <c r="AC98" i="1"/>
  <c r="AD71" i="1"/>
  <c r="AD95" i="1" s="1"/>
  <c r="AD70" i="1"/>
  <c r="AD94" i="1" s="1"/>
  <c r="AE62" i="1"/>
  <c r="AE63" i="1" s="1"/>
  <c r="AC97" i="1"/>
  <c r="AC73" i="1"/>
  <c r="AG59" i="1" l="1"/>
  <c r="AG91" i="1" s="1"/>
  <c r="AG61" i="1"/>
  <c r="AG93" i="1" s="1"/>
  <c r="AG60" i="1"/>
  <c r="AG92" i="1" s="1"/>
  <c r="AD98" i="1"/>
  <c r="AD74" i="1"/>
  <c r="AE70" i="1"/>
  <c r="AE94" i="1" s="1"/>
  <c r="AE71" i="1"/>
  <c r="AE95" i="1" s="1"/>
  <c r="AH3" i="1"/>
  <c r="AG88" i="1"/>
  <c r="AD97" i="1"/>
  <c r="AD73" i="1"/>
  <c r="AF62" i="1"/>
  <c r="AF63" i="1" s="1"/>
  <c r="AH59" i="1" l="1"/>
  <c r="AH91" i="1" s="1"/>
  <c r="AH61" i="1"/>
  <c r="AH93" i="1" s="1"/>
  <c r="AH60" i="1"/>
  <c r="AH92" i="1" s="1"/>
  <c r="AE98" i="1"/>
  <c r="AE74" i="1"/>
  <c r="AF70" i="1"/>
  <c r="AF94" i="1" s="1"/>
  <c r="AF71" i="1"/>
  <c r="AF95" i="1" s="1"/>
  <c r="AG62" i="1"/>
  <c r="AG63" i="1" s="1"/>
  <c r="AE97" i="1"/>
  <c r="AE73" i="1"/>
  <c r="AI3" i="1"/>
  <c r="AH88" i="1"/>
  <c r="AI59" i="1" l="1"/>
  <c r="AI91" i="1" s="1"/>
  <c r="AI61" i="1"/>
  <c r="AI93" i="1" s="1"/>
  <c r="AI60" i="1"/>
  <c r="AI92" i="1" s="1"/>
  <c r="AF98" i="1"/>
  <c r="AF74" i="1"/>
  <c r="AH62" i="1"/>
  <c r="AH63" i="1" s="1"/>
  <c r="AF97" i="1"/>
  <c r="AF73" i="1"/>
  <c r="AG71" i="1"/>
  <c r="AG95" i="1" s="1"/>
  <c r="AG70" i="1"/>
  <c r="AG94" i="1" s="1"/>
  <c r="AI88" i="1"/>
  <c r="AJ3" i="1"/>
  <c r="AJ60" i="1" l="1"/>
  <c r="AJ92" i="1" s="1"/>
  <c r="AJ59" i="1"/>
  <c r="AJ91" i="1" s="1"/>
  <c r="AJ61" i="1"/>
  <c r="AJ93" i="1" s="1"/>
  <c r="AH70" i="1"/>
  <c r="AH94" i="1" s="1"/>
  <c r="AH71" i="1"/>
  <c r="AH95" i="1" s="1"/>
  <c r="AI62" i="1"/>
  <c r="AI63" i="1" s="1"/>
  <c r="AG97" i="1"/>
  <c r="AG73" i="1"/>
  <c r="AG98" i="1"/>
  <c r="AG74" i="1"/>
  <c r="AJ88" i="1"/>
  <c r="AK3" i="1"/>
  <c r="AK60" i="1" l="1"/>
  <c r="AK92" i="1" s="1"/>
  <c r="AK59" i="1"/>
  <c r="AK91" i="1" s="1"/>
  <c r="AK61" i="1"/>
  <c r="AK93" i="1" s="1"/>
  <c r="AI70" i="1"/>
  <c r="AI94" i="1" s="1"/>
  <c r="AI71" i="1"/>
  <c r="AI95" i="1" s="1"/>
  <c r="AK88" i="1"/>
  <c r="AL3" i="1"/>
  <c r="AH98" i="1"/>
  <c r="AH74" i="1"/>
  <c r="AJ62" i="1"/>
  <c r="AJ63" i="1" s="1"/>
  <c r="AH97" i="1"/>
  <c r="AH73" i="1"/>
  <c r="AL60" i="1" l="1"/>
  <c r="AL92" i="1" s="1"/>
  <c r="AL59" i="1"/>
  <c r="AL91" i="1" s="1"/>
  <c r="AL61" i="1"/>
  <c r="AL93" i="1" s="1"/>
  <c r="AJ71" i="1"/>
  <c r="AJ95" i="1" s="1"/>
  <c r="AJ70" i="1"/>
  <c r="AJ94" i="1" s="1"/>
  <c r="AI74" i="1"/>
  <c r="AI98" i="1"/>
  <c r="AK62" i="1"/>
  <c r="AK63" i="1" s="1"/>
  <c r="AM3" i="1"/>
  <c r="AL88" i="1"/>
  <c r="AI97" i="1"/>
  <c r="AI73" i="1"/>
  <c r="AM61" i="1" l="1"/>
  <c r="AM93" i="1" s="1"/>
  <c r="AM60" i="1"/>
  <c r="AM92" i="1" s="1"/>
  <c r="AM59" i="1"/>
  <c r="AM91" i="1" s="1"/>
  <c r="AM88" i="1"/>
  <c r="AN3" i="1"/>
  <c r="AL62" i="1"/>
  <c r="AL63" i="1" s="1"/>
  <c r="AK71" i="1"/>
  <c r="AK95" i="1" s="1"/>
  <c r="AK70" i="1"/>
  <c r="AK94" i="1" s="1"/>
  <c r="AJ97" i="1"/>
  <c r="AJ73" i="1"/>
  <c r="AJ98" i="1"/>
  <c r="AJ74" i="1"/>
  <c r="AN61" i="1" l="1"/>
  <c r="AN93" i="1" s="1"/>
  <c r="AN60" i="1"/>
  <c r="AN92" i="1" s="1"/>
  <c r="AN59" i="1"/>
  <c r="AN91" i="1" s="1"/>
  <c r="AK98" i="1"/>
  <c r="AK74" i="1"/>
  <c r="AL71" i="1"/>
  <c r="AL95" i="1" s="1"/>
  <c r="AL70" i="1"/>
  <c r="AL94" i="1" s="1"/>
  <c r="AN88" i="1"/>
  <c r="AO3" i="1"/>
  <c r="AM62" i="1"/>
  <c r="AM63" i="1" s="1"/>
  <c r="AK97" i="1"/>
  <c r="AK73" i="1"/>
  <c r="AO59" i="1" l="1"/>
  <c r="AO91" i="1" s="1"/>
  <c r="AO61" i="1"/>
  <c r="AO93" i="1" s="1"/>
  <c r="AO60" i="1"/>
  <c r="AO92" i="1" s="1"/>
  <c r="AN62" i="1"/>
  <c r="AN63" i="1" s="1"/>
  <c r="AL97" i="1"/>
  <c r="AL73" i="1"/>
  <c r="AL98" i="1"/>
  <c r="AL74" i="1"/>
  <c r="AM70" i="1"/>
  <c r="AM94" i="1" s="1"/>
  <c r="AM71" i="1"/>
  <c r="AM95" i="1" s="1"/>
  <c r="AO88" i="1"/>
  <c r="AP3" i="1"/>
  <c r="AP59" i="1" l="1"/>
  <c r="AP91" i="1" s="1"/>
  <c r="AP61" i="1"/>
  <c r="AP93" i="1" s="1"/>
  <c r="AP60" i="1"/>
  <c r="AP92" i="1" s="1"/>
  <c r="AP88" i="1"/>
  <c r="AQ3" i="1"/>
  <c r="AM98" i="1"/>
  <c r="AM74" i="1"/>
  <c r="AM97" i="1"/>
  <c r="AM73" i="1"/>
  <c r="AN71" i="1"/>
  <c r="AN95" i="1" s="1"/>
  <c r="AN70" i="1"/>
  <c r="AN94" i="1" s="1"/>
  <c r="AO62" i="1"/>
  <c r="AO63" i="1" s="1"/>
  <c r="AQ59" i="1" l="1"/>
  <c r="AQ91" i="1" s="1"/>
  <c r="AQ61" i="1"/>
  <c r="AQ93" i="1" s="1"/>
  <c r="AQ60" i="1"/>
  <c r="AQ92" i="1" s="1"/>
  <c r="AN97" i="1"/>
  <c r="AN73" i="1"/>
  <c r="AN98" i="1"/>
  <c r="AN74" i="1"/>
  <c r="AQ88" i="1"/>
  <c r="AR3" i="1"/>
  <c r="AO71" i="1"/>
  <c r="AO95" i="1" s="1"/>
  <c r="AO70" i="1"/>
  <c r="AO94" i="1" s="1"/>
  <c r="AP62" i="1"/>
  <c r="AP63" i="1" s="1"/>
  <c r="AR60" i="1" l="1"/>
  <c r="AR92" i="1" s="1"/>
  <c r="AR59" i="1"/>
  <c r="AR91" i="1" s="1"/>
  <c r="AR61" i="1"/>
  <c r="AR93" i="1" s="1"/>
  <c r="AO97" i="1"/>
  <c r="AO73" i="1"/>
  <c r="AO98" i="1"/>
  <c r="AO74" i="1"/>
  <c r="AQ62" i="1"/>
  <c r="AQ63" i="1" s="1"/>
  <c r="AP70" i="1"/>
  <c r="AP94" i="1" s="1"/>
  <c r="AP71" i="1"/>
  <c r="AP95" i="1" s="1"/>
  <c r="AS3" i="1"/>
  <c r="AR88" i="1"/>
  <c r="AS60" i="1" l="1"/>
  <c r="AS92" i="1" s="1"/>
  <c r="AS59" i="1"/>
  <c r="AS91" i="1" s="1"/>
  <c r="AS61" i="1"/>
  <c r="AS93" i="1" s="1"/>
  <c r="AR62" i="1"/>
  <c r="AR63" i="1" s="1"/>
  <c r="AP98" i="1"/>
  <c r="AP74" i="1"/>
  <c r="AS88" i="1"/>
  <c r="AT3" i="1"/>
  <c r="AP97" i="1"/>
  <c r="AP73" i="1"/>
  <c r="AQ71" i="1"/>
  <c r="AQ95" i="1" s="1"/>
  <c r="AQ70" i="1"/>
  <c r="AQ94" i="1" s="1"/>
  <c r="AT60" i="1" l="1"/>
  <c r="AT92" i="1" s="1"/>
  <c r="AT61" i="1"/>
  <c r="AT93" i="1" s="1"/>
  <c r="AT59" i="1"/>
  <c r="AT91" i="1" s="1"/>
  <c r="AQ98" i="1"/>
  <c r="AQ74" i="1"/>
  <c r="AU3" i="1"/>
  <c r="AT88" i="1"/>
  <c r="AS62" i="1"/>
  <c r="AS63" i="1" s="1"/>
  <c r="AR71" i="1"/>
  <c r="AR95" i="1" s="1"/>
  <c r="AR70" i="1"/>
  <c r="AR94" i="1" s="1"/>
  <c r="AQ97" i="1"/>
  <c r="AQ73" i="1"/>
  <c r="AU61" i="1" l="1"/>
  <c r="AU93" i="1" s="1"/>
  <c r="AU60" i="1"/>
  <c r="AU92" i="1" s="1"/>
  <c r="AU59" i="1"/>
  <c r="AU91" i="1" s="1"/>
  <c r="AV3" i="1"/>
  <c r="AU88" i="1"/>
  <c r="AR98" i="1"/>
  <c r="AR74" i="1"/>
  <c r="AR97" i="1"/>
  <c r="AR73" i="1"/>
  <c r="AS70" i="1"/>
  <c r="AS94" i="1" s="1"/>
  <c r="AS71" i="1"/>
  <c r="AS95" i="1" s="1"/>
  <c r="AT62" i="1"/>
  <c r="AT63" i="1" s="1"/>
  <c r="AV61" i="1" l="1"/>
  <c r="AV93" i="1" s="1"/>
  <c r="AV60" i="1"/>
  <c r="AV92" i="1" s="1"/>
  <c r="AV59" i="1"/>
  <c r="AV91" i="1" s="1"/>
  <c r="AS98" i="1"/>
  <c r="AS74" i="1"/>
  <c r="AS97" i="1"/>
  <c r="AS73" i="1"/>
  <c r="AT71" i="1"/>
  <c r="AT95" i="1" s="1"/>
  <c r="AT70" i="1"/>
  <c r="AT94" i="1" s="1"/>
  <c r="AU62" i="1"/>
  <c r="AU63" i="1" s="1"/>
  <c r="AV88" i="1"/>
  <c r="AW3" i="1"/>
  <c r="AW59" i="1" l="1"/>
  <c r="AW91" i="1" s="1"/>
  <c r="AW61" i="1"/>
  <c r="AW93" i="1" s="1"/>
  <c r="AW60" i="1"/>
  <c r="AW92" i="1" s="1"/>
  <c r="AU71" i="1"/>
  <c r="AU95" i="1" s="1"/>
  <c r="AU70" i="1"/>
  <c r="AU94" i="1" s="1"/>
  <c r="AX3" i="1"/>
  <c r="AW88" i="1"/>
  <c r="AV62" i="1"/>
  <c r="AV63" i="1" s="1"/>
  <c r="AT97" i="1"/>
  <c r="AT73" i="1"/>
  <c r="AT98" i="1"/>
  <c r="AT74" i="1"/>
  <c r="AX59" i="1" l="1"/>
  <c r="AX91" i="1" s="1"/>
  <c r="AX61" i="1"/>
  <c r="AX93" i="1" s="1"/>
  <c r="AX60" i="1"/>
  <c r="AX92" i="1" s="1"/>
  <c r="AX88" i="1"/>
  <c r="AY3" i="1"/>
  <c r="AW62" i="1"/>
  <c r="AW63" i="1" s="1"/>
  <c r="AU97" i="1"/>
  <c r="AU73" i="1"/>
  <c r="AV71" i="1"/>
  <c r="AV95" i="1" s="1"/>
  <c r="AV70" i="1"/>
  <c r="AV94" i="1" s="1"/>
  <c r="AU98" i="1"/>
  <c r="AU74" i="1"/>
  <c r="AY59" i="1" l="1"/>
  <c r="AY91" i="1" s="1"/>
  <c r="AY61" i="1"/>
  <c r="AY93" i="1" s="1"/>
  <c r="AY60" i="1"/>
  <c r="AY92" i="1" s="1"/>
  <c r="AX62" i="1"/>
  <c r="AX63" i="1" s="1"/>
  <c r="AW71" i="1"/>
  <c r="AW95" i="1" s="1"/>
  <c r="AW70" i="1"/>
  <c r="AW94" i="1" s="1"/>
  <c r="AV98" i="1"/>
  <c r="AV74" i="1"/>
  <c r="AY88" i="1"/>
  <c r="AZ3" i="1"/>
  <c r="AV73" i="1"/>
  <c r="AV97" i="1"/>
  <c r="AZ60" i="1" l="1"/>
  <c r="AZ92" i="1" s="1"/>
  <c r="AZ59" i="1"/>
  <c r="AZ91" i="1" s="1"/>
  <c r="AZ61" i="1"/>
  <c r="AZ93" i="1" s="1"/>
  <c r="AW98" i="1"/>
  <c r="AW74" i="1"/>
  <c r="AX70" i="1"/>
  <c r="AX94" i="1" s="1"/>
  <c r="AX71" i="1"/>
  <c r="AX95" i="1" s="1"/>
  <c r="AY62" i="1"/>
  <c r="AY63" i="1" s="1"/>
  <c r="AW73" i="1"/>
  <c r="AW97" i="1"/>
  <c r="BA3" i="1"/>
  <c r="AZ88" i="1"/>
  <c r="BA60" i="1" l="1"/>
  <c r="BA92" i="1" s="1"/>
  <c r="BA59" i="1"/>
  <c r="BA91" i="1" s="1"/>
  <c r="BA61" i="1"/>
  <c r="BA93" i="1" s="1"/>
  <c r="AX98" i="1"/>
  <c r="AX74" i="1"/>
  <c r="AZ62" i="1"/>
  <c r="AZ63" i="1" s="1"/>
  <c r="AX97" i="1"/>
  <c r="AX73" i="1"/>
  <c r="BB3" i="1"/>
  <c r="BA88" i="1"/>
  <c r="AY71" i="1"/>
  <c r="AY95" i="1" s="1"/>
  <c r="AY70" i="1"/>
  <c r="AY94" i="1" s="1"/>
  <c r="BB60" i="1" l="1"/>
  <c r="BB92" i="1" s="1"/>
  <c r="BB59" i="1"/>
  <c r="BB91" i="1" s="1"/>
  <c r="BB61" i="1"/>
  <c r="BB93" i="1" s="1"/>
  <c r="BC3" i="1"/>
  <c r="BB88" i="1"/>
  <c r="AZ70" i="1"/>
  <c r="AZ94" i="1" s="1"/>
  <c r="AZ71" i="1"/>
  <c r="AZ95" i="1" s="1"/>
  <c r="AY98" i="1"/>
  <c r="AY74" i="1"/>
  <c r="AY97" i="1"/>
  <c r="AY73" i="1"/>
  <c r="BA62" i="1"/>
  <c r="BA63" i="1" s="1"/>
  <c r="BC61" i="1" l="1"/>
  <c r="BC93" i="1" s="1"/>
  <c r="BC60" i="1"/>
  <c r="BC92" i="1" s="1"/>
  <c r="BC59" i="1"/>
  <c r="BC91" i="1" s="1"/>
  <c r="AZ98" i="1"/>
  <c r="AZ74" i="1"/>
  <c r="AZ97" i="1"/>
  <c r="AZ73" i="1"/>
  <c r="BB62" i="1"/>
  <c r="BB63" i="1" s="1"/>
  <c r="BA71" i="1"/>
  <c r="BA95" i="1" s="1"/>
  <c r="BA70" i="1"/>
  <c r="BA94" i="1" s="1"/>
  <c r="BD3" i="1"/>
  <c r="BC88" i="1"/>
  <c r="BD61" i="1" l="1"/>
  <c r="BD93" i="1" s="1"/>
  <c r="BD60" i="1"/>
  <c r="BD92" i="1" s="1"/>
  <c r="BD59" i="1"/>
  <c r="BD91" i="1" s="1"/>
  <c r="BD88" i="1"/>
  <c r="BE3" i="1"/>
  <c r="BA97" i="1"/>
  <c r="BA73" i="1"/>
  <c r="BA98" i="1"/>
  <c r="BA74" i="1"/>
  <c r="BB70" i="1"/>
  <c r="BB94" i="1" s="1"/>
  <c r="BB71" i="1"/>
  <c r="BB95" i="1" s="1"/>
  <c r="BC62" i="1"/>
  <c r="BC63" i="1" s="1"/>
  <c r="BE59" i="1" l="1"/>
  <c r="BE91" i="1" s="1"/>
  <c r="BE61" i="1"/>
  <c r="BE93" i="1" s="1"/>
  <c r="BE60" i="1"/>
  <c r="BE92" i="1" s="1"/>
  <c r="BB97" i="1"/>
  <c r="BB73" i="1"/>
  <c r="BD62" i="1"/>
  <c r="BD63" i="1" s="1"/>
  <c r="BB98" i="1"/>
  <c r="BB74" i="1"/>
  <c r="BC71" i="1"/>
  <c r="BC95" i="1" s="1"/>
  <c r="BC70" i="1"/>
  <c r="BC94" i="1" s="1"/>
  <c r="BE88" i="1"/>
  <c r="BF3" i="1"/>
  <c r="BF59" i="1" l="1"/>
  <c r="BF91" i="1" s="1"/>
  <c r="BF61" i="1"/>
  <c r="BF93" i="1" s="1"/>
  <c r="BF60" i="1"/>
  <c r="BF92" i="1" s="1"/>
  <c r="BC98" i="1"/>
  <c r="BC74" i="1"/>
  <c r="BD71" i="1"/>
  <c r="BD95" i="1" s="1"/>
  <c r="BD70" i="1"/>
  <c r="BD94" i="1" s="1"/>
  <c r="BG3" i="1"/>
  <c r="BF88" i="1"/>
  <c r="BC97" i="1"/>
  <c r="BC73" i="1"/>
  <c r="BE62" i="1"/>
  <c r="BE63" i="1" s="1"/>
  <c r="BG59" i="1" l="1"/>
  <c r="BG91" i="1" s="1"/>
  <c r="BG61" i="1"/>
  <c r="BG93" i="1" s="1"/>
  <c r="BG60" i="1"/>
  <c r="BG92" i="1" s="1"/>
  <c r="BD98" i="1"/>
  <c r="BD74" i="1"/>
  <c r="BF62" i="1"/>
  <c r="BF63" i="1" s="1"/>
  <c r="BD97" i="1"/>
  <c r="BD73" i="1"/>
  <c r="BE71" i="1"/>
  <c r="BE95" i="1" s="1"/>
  <c r="BE70" i="1"/>
  <c r="BE94" i="1" s="1"/>
  <c r="BH3" i="1"/>
  <c r="BG88" i="1"/>
  <c r="BH60" i="1" l="1"/>
  <c r="BH92" i="1" s="1"/>
  <c r="BH59" i="1"/>
  <c r="BH91" i="1" s="1"/>
  <c r="BH61" i="1"/>
  <c r="BH93" i="1" s="1"/>
  <c r="BF70" i="1"/>
  <c r="BF94" i="1" s="1"/>
  <c r="BF71" i="1"/>
  <c r="BF95" i="1" s="1"/>
  <c r="BI3" i="1"/>
  <c r="BH88" i="1"/>
  <c r="BE97" i="1"/>
  <c r="BE73" i="1"/>
  <c r="BE74" i="1"/>
  <c r="BE98" i="1"/>
  <c r="BG62" i="1"/>
  <c r="BG63" i="1" s="1"/>
  <c r="BI60" i="1" l="1"/>
  <c r="BI92" i="1" s="1"/>
  <c r="BI59" i="1"/>
  <c r="BI91" i="1" s="1"/>
  <c r="BI61" i="1"/>
  <c r="BI93" i="1" s="1"/>
  <c r="BJ3" i="1"/>
  <c r="BI88" i="1"/>
  <c r="BH62" i="1"/>
  <c r="BH63" i="1" s="1"/>
  <c r="BF98" i="1"/>
  <c r="BF74" i="1"/>
  <c r="BG71" i="1"/>
  <c r="BG95" i="1" s="1"/>
  <c r="BG70" i="1"/>
  <c r="BG94" i="1" s="1"/>
  <c r="BF97" i="1"/>
  <c r="BF73" i="1"/>
  <c r="BJ60" i="1" l="1"/>
  <c r="BJ92" i="1" s="1"/>
  <c r="BJ59" i="1"/>
  <c r="BJ91" i="1" s="1"/>
  <c r="BJ61" i="1"/>
  <c r="BJ93" i="1" s="1"/>
  <c r="BI62" i="1"/>
  <c r="BI63" i="1" s="1"/>
  <c r="BG97" i="1"/>
  <c r="BG73" i="1"/>
  <c r="BG98" i="1"/>
  <c r="BG74" i="1"/>
  <c r="BH71" i="1"/>
  <c r="BH95" i="1" s="1"/>
  <c r="BH70" i="1"/>
  <c r="BH94" i="1" s="1"/>
  <c r="BJ88" i="1"/>
  <c r="BK3" i="1"/>
  <c r="BK61" i="1" l="1"/>
  <c r="BK93" i="1" s="1"/>
  <c r="BK60" i="1"/>
  <c r="BK92" i="1" s="1"/>
  <c r="BK59" i="1"/>
  <c r="BK91" i="1" s="1"/>
  <c r="BJ62" i="1"/>
  <c r="BJ63" i="1" s="1"/>
  <c r="BH98" i="1"/>
  <c r="BH74" i="1"/>
  <c r="BI71" i="1"/>
  <c r="BI95" i="1" s="1"/>
  <c r="BI70" i="1"/>
  <c r="BI94" i="1" s="1"/>
  <c r="BH97" i="1"/>
  <c r="BH73" i="1"/>
  <c r="BL3" i="1"/>
  <c r="BK88" i="1"/>
  <c r="BL61" i="1" l="1"/>
  <c r="BL93" i="1" s="1"/>
  <c r="BL60" i="1"/>
  <c r="BL92" i="1" s="1"/>
  <c r="BL59" i="1"/>
  <c r="BL91" i="1" s="1"/>
  <c r="BK62" i="1"/>
  <c r="BK63" i="1" s="1"/>
  <c r="BL88" i="1"/>
  <c r="BM3" i="1"/>
  <c r="BI97" i="1"/>
  <c r="BI73" i="1"/>
  <c r="BJ71" i="1"/>
  <c r="BJ95" i="1" s="1"/>
  <c r="BJ70" i="1"/>
  <c r="BJ94" i="1" s="1"/>
  <c r="BI98" i="1"/>
  <c r="BI74" i="1"/>
  <c r="BM59" i="1" l="1"/>
  <c r="BM91" i="1" s="1"/>
  <c r="BM61" i="1"/>
  <c r="BM93" i="1" s="1"/>
  <c r="BM60" i="1"/>
  <c r="BM92" i="1" s="1"/>
  <c r="BJ98" i="1"/>
  <c r="BJ74" i="1"/>
  <c r="BK70" i="1"/>
  <c r="BK94" i="1" s="1"/>
  <c r="BK71" i="1"/>
  <c r="BK95" i="1" s="1"/>
  <c r="BL62" i="1"/>
  <c r="BL63" i="1" s="1"/>
  <c r="BJ97" i="1"/>
  <c r="BJ73" i="1"/>
  <c r="BN3" i="1"/>
  <c r="BM88" i="1"/>
  <c r="BN59" i="1" l="1"/>
  <c r="BN91" i="1" s="1"/>
  <c r="BN61" i="1"/>
  <c r="BN93" i="1" s="1"/>
  <c r="BN60" i="1"/>
  <c r="BN92" i="1" s="1"/>
  <c r="BN88" i="1"/>
  <c r="BO3" i="1"/>
  <c r="BM62" i="1"/>
  <c r="BM63" i="1" s="1"/>
  <c r="BK98" i="1"/>
  <c r="BK74" i="1"/>
  <c r="BK73" i="1"/>
  <c r="BK97" i="1"/>
  <c r="BL71" i="1"/>
  <c r="BL95" i="1" s="1"/>
  <c r="BL70" i="1"/>
  <c r="BL94" i="1" s="1"/>
  <c r="BO59" i="1" l="1"/>
  <c r="BO91" i="1" s="1"/>
  <c r="BO61" i="1"/>
  <c r="BO93" i="1" s="1"/>
  <c r="BO60" i="1"/>
  <c r="BO92" i="1" s="1"/>
  <c r="BL98" i="1"/>
  <c r="BL74" i="1"/>
  <c r="BN62" i="1"/>
  <c r="BN63" i="1" s="1"/>
  <c r="BM71" i="1"/>
  <c r="BM95" i="1" s="1"/>
  <c r="BM70" i="1"/>
  <c r="BM94" i="1" s="1"/>
  <c r="BL97" i="1"/>
  <c r="BL73" i="1"/>
  <c r="BO88" i="1"/>
  <c r="BP3" i="1"/>
  <c r="BP60" i="1" l="1"/>
  <c r="BP92" i="1" s="1"/>
  <c r="BP59" i="1"/>
  <c r="BP91" i="1" s="1"/>
  <c r="BP61" i="1"/>
  <c r="BP93" i="1" s="1"/>
  <c r="BP88" i="1"/>
  <c r="BQ3" i="1"/>
  <c r="BM97" i="1"/>
  <c r="BM73" i="1"/>
  <c r="BN71" i="1"/>
  <c r="BN95" i="1" s="1"/>
  <c r="BN70" i="1"/>
  <c r="BN94" i="1" s="1"/>
  <c r="BO62" i="1"/>
  <c r="BO63" i="1" s="1"/>
  <c r="BM98" i="1"/>
  <c r="BM74" i="1"/>
  <c r="BQ60" i="1" l="1"/>
  <c r="BQ92" i="1" s="1"/>
  <c r="BQ59" i="1"/>
  <c r="BQ61" i="1"/>
  <c r="BQ93" i="1" s="1"/>
  <c r="BP62" i="1"/>
  <c r="BP63" i="1" s="1"/>
  <c r="BN98" i="1"/>
  <c r="BN74" i="1"/>
  <c r="BO70" i="1"/>
  <c r="BO94" i="1" s="1"/>
  <c r="BO71" i="1"/>
  <c r="BO95" i="1" s="1"/>
  <c r="BN97" i="1"/>
  <c r="BN73" i="1"/>
  <c r="BR3" i="1"/>
  <c r="BQ88" i="1"/>
  <c r="BQ91" i="1"/>
  <c r="BR60" i="1" l="1"/>
  <c r="BR92" i="1" s="1"/>
  <c r="BR61" i="1"/>
  <c r="BR59" i="1"/>
  <c r="BQ62" i="1"/>
  <c r="BQ63" i="1" s="1"/>
  <c r="BR91" i="1"/>
  <c r="BR88" i="1"/>
  <c r="BR93" i="1"/>
  <c r="BS3" i="1"/>
  <c r="BO98" i="1"/>
  <c r="BO74" i="1"/>
  <c r="BP71" i="1"/>
  <c r="BP95" i="1" s="1"/>
  <c r="BP70" i="1"/>
  <c r="BP94" i="1" s="1"/>
  <c r="BO97" i="1"/>
  <c r="BO73" i="1"/>
  <c r="BS61" i="1" l="1"/>
  <c r="BS60" i="1"/>
  <c r="BS92" i="1" s="1"/>
  <c r="BS59" i="1"/>
  <c r="BS91" i="1" s="1"/>
  <c r="BR62" i="1"/>
  <c r="BR63" i="1" s="1"/>
  <c r="BQ71" i="1"/>
  <c r="BQ95" i="1" s="1"/>
  <c r="BQ70" i="1"/>
  <c r="BQ94" i="1" s="1"/>
  <c r="BP97" i="1"/>
  <c r="BP73" i="1"/>
  <c r="BS93" i="1"/>
  <c r="BT3" i="1"/>
  <c r="BS88" i="1"/>
  <c r="BP98" i="1"/>
  <c r="BP74" i="1"/>
  <c r="BT61" i="1" l="1"/>
  <c r="BT93" i="1" s="1"/>
  <c r="BT60" i="1"/>
  <c r="BT92" i="1" s="1"/>
  <c r="BT59" i="1"/>
  <c r="BT91" i="1" s="1"/>
  <c r="BS62" i="1"/>
  <c r="BS63" i="1" s="1"/>
  <c r="BQ98" i="1"/>
  <c r="BQ74" i="1"/>
  <c r="BU3" i="1"/>
  <c r="BT88" i="1"/>
  <c r="BR70" i="1"/>
  <c r="BR94" i="1" s="1"/>
  <c r="BR71" i="1"/>
  <c r="BR95" i="1" s="1"/>
  <c r="BQ97" i="1"/>
  <c r="BQ73" i="1"/>
  <c r="BU59" i="1" l="1"/>
  <c r="BU91" i="1" s="1"/>
  <c r="BU61" i="1"/>
  <c r="BU93" i="1" s="1"/>
  <c r="BU60" i="1"/>
  <c r="BU92" i="1" s="1"/>
  <c r="BR98" i="1"/>
  <c r="BR74" i="1"/>
  <c r="BT62" i="1"/>
  <c r="BT63" i="1" s="1"/>
  <c r="BR97" i="1"/>
  <c r="BR73" i="1"/>
  <c r="BU88" i="1"/>
  <c r="BV3" i="1"/>
  <c r="BS70" i="1"/>
  <c r="BS94" i="1" s="1"/>
  <c r="BS71" i="1"/>
  <c r="BS95" i="1" s="1"/>
  <c r="BV59" i="1" l="1"/>
  <c r="BV91" i="1" s="1"/>
  <c r="BV61" i="1"/>
  <c r="BV93" i="1" s="1"/>
  <c r="BV60" i="1"/>
  <c r="BV92" i="1" s="1"/>
  <c r="BS97" i="1"/>
  <c r="BS73" i="1"/>
  <c r="BT70" i="1"/>
  <c r="BT94" i="1" s="1"/>
  <c r="BT71" i="1"/>
  <c r="BT95" i="1" s="1"/>
  <c r="BV88" i="1"/>
  <c r="BW3" i="1"/>
  <c r="BU62" i="1"/>
  <c r="BU63" i="1" s="1"/>
  <c r="BS98" i="1"/>
  <c r="BS74" i="1"/>
  <c r="BW59" i="1" l="1"/>
  <c r="BW91" i="1" s="1"/>
  <c r="BW61" i="1"/>
  <c r="BW93" i="1" s="1"/>
  <c r="BW60" i="1"/>
  <c r="BW92" i="1" s="1"/>
  <c r="BV62" i="1"/>
  <c r="BV63" i="1" s="1"/>
  <c r="BW88" i="1"/>
  <c r="BX3" i="1"/>
  <c r="BU71" i="1"/>
  <c r="BU95" i="1" s="1"/>
  <c r="BU70" i="1"/>
  <c r="BU94" i="1" s="1"/>
  <c r="BT97" i="1"/>
  <c r="BT73" i="1"/>
  <c r="BT98" i="1"/>
  <c r="BT74" i="1"/>
  <c r="BX60" i="1" l="1"/>
  <c r="BX92" i="1" s="1"/>
  <c r="BX59" i="1"/>
  <c r="BX91" i="1" s="1"/>
  <c r="BX61" i="1"/>
  <c r="BX93" i="1" s="1"/>
  <c r="BV71" i="1"/>
  <c r="BV95" i="1" s="1"/>
  <c r="BV70" i="1"/>
  <c r="BV94" i="1" s="1"/>
  <c r="BU98" i="1"/>
  <c r="BU74" i="1"/>
  <c r="BX88" i="1"/>
  <c r="BY3" i="1"/>
  <c r="BU97" i="1"/>
  <c r="BU73" i="1"/>
  <c r="BW62" i="1"/>
  <c r="BW63" i="1" s="1"/>
  <c r="BY60" i="1" l="1"/>
  <c r="BY92" i="1" s="1"/>
  <c r="BY59" i="1"/>
  <c r="BY91" i="1" s="1"/>
  <c r="BY61" i="1"/>
  <c r="BY93" i="1" s="1"/>
  <c r="BV97" i="1"/>
  <c r="BV73" i="1"/>
  <c r="BZ3" i="1"/>
  <c r="BY88" i="1"/>
  <c r="BW70" i="1"/>
  <c r="BW94" i="1" s="1"/>
  <c r="BW71" i="1"/>
  <c r="BW95" i="1" s="1"/>
  <c r="BX62" i="1"/>
  <c r="BX63" i="1" s="1"/>
  <c r="BV98" i="1"/>
  <c r="BV74" i="1"/>
  <c r="BZ60" i="1" l="1"/>
  <c r="BZ92" i="1" s="1"/>
  <c r="BZ59" i="1"/>
  <c r="BZ91" i="1" s="1"/>
  <c r="BZ61" i="1"/>
  <c r="BZ93" i="1" s="1"/>
  <c r="BW97" i="1"/>
  <c r="BW73" i="1"/>
  <c r="BY62" i="1"/>
  <c r="BY63" i="1" s="1"/>
  <c r="BZ88" i="1"/>
  <c r="CA3" i="1"/>
  <c r="BX71" i="1"/>
  <c r="BX95" i="1" s="1"/>
  <c r="BX70" i="1"/>
  <c r="BX94" i="1" s="1"/>
  <c r="BW98" i="1"/>
  <c r="BW74" i="1"/>
  <c r="CA61" i="1" l="1"/>
  <c r="CA93" i="1" s="1"/>
  <c r="CA60" i="1"/>
  <c r="CA92" i="1" s="1"/>
  <c r="CA59" i="1"/>
  <c r="CA91" i="1" s="1"/>
  <c r="BY70" i="1"/>
  <c r="BY94" i="1" s="1"/>
  <c r="BY71" i="1"/>
  <c r="BY95" i="1" s="1"/>
  <c r="BX97" i="1"/>
  <c r="BX73" i="1"/>
  <c r="BZ62" i="1"/>
  <c r="BZ63" i="1" s="1"/>
  <c r="BX98" i="1"/>
  <c r="BX74" i="1"/>
  <c r="CA88" i="1"/>
  <c r="CB3" i="1"/>
  <c r="CB61" i="1" l="1"/>
  <c r="CB93" i="1" s="1"/>
  <c r="CB60" i="1"/>
  <c r="CB92" i="1" s="1"/>
  <c r="CB59" i="1"/>
  <c r="CB91" i="1" s="1"/>
  <c r="CB88" i="1"/>
  <c r="CC3" i="1"/>
  <c r="BZ71" i="1"/>
  <c r="BZ95" i="1" s="1"/>
  <c r="BZ70" i="1"/>
  <c r="BZ94" i="1" s="1"/>
  <c r="BY98" i="1"/>
  <c r="BY74" i="1"/>
  <c r="CA62" i="1"/>
  <c r="CA63" i="1" s="1"/>
  <c r="BY97" i="1"/>
  <c r="BY73" i="1"/>
  <c r="CC59" i="1" l="1"/>
  <c r="CC91" i="1" s="1"/>
  <c r="CC61" i="1"/>
  <c r="CC93" i="1" s="1"/>
  <c r="CC60" i="1"/>
  <c r="CC92" i="1" s="1"/>
  <c r="CA71" i="1"/>
  <c r="CA95" i="1" s="1"/>
  <c r="CA70" i="1"/>
  <c r="CA94" i="1" s="1"/>
  <c r="CB62" i="1"/>
  <c r="CB63" i="1" s="1"/>
  <c r="BZ98" i="1"/>
  <c r="BZ74" i="1"/>
  <c r="CD3" i="1"/>
  <c r="CC88" i="1"/>
  <c r="BZ97" i="1"/>
  <c r="BZ73" i="1"/>
  <c r="CD59" i="1" l="1"/>
  <c r="CD91" i="1" s="1"/>
  <c r="CD61" i="1"/>
  <c r="CD93" i="1" s="1"/>
  <c r="CD60" i="1"/>
  <c r="CC62" i="1"/>
  <c r="CC63" i="1" s="1"/>
  <c r="CB71" i="1"/>
  <c r="CB95" i="1" s="1"/>
  <c r="CB70" i="1"/>
  <c r="CB94" i="1" s="1"/>
  <c r="CD92" i="1"/>
  <c r="CD88" i="1"/>
  <c r="CE3" i="1"/>
  <c r="CA97" i="1"/>
  <c r="CA73" i="1"/>
  <c r="CA98" i="1"/>
  <c r="CA74" i="1"/>
  <c r="CE59" i="1" l="1"/>
  <c r="CE91" i="1" s="1"/>
  <c r="CE61" i="1"/>
  <c r="CE93" i="1" s="1"/>
  <c r="CE60" i="1"/>
  <c r="CE92" i="1" s="1"/>
  <c r="CB98" i="1"/>
  <c r="CB74" i="1"/>
  <c r="CB97" i="1"/>
  <c r="CB73" i="1"/>
  <c r="CD62" i="1"/>
  <c r="CD63" i="1" s="1"/>
  <c r="CC70" i="1"/>
  <c r="CC94" i="1" s="1"/>
  <c r="CC71" i="1"/>
  <c r="CC95" i="1" s="1"/>
  <c r="CE88" i="1"/>
  <c r="CF3" i="1"/>
  <c r="CF60" i="1" l="1"/>
  <c r="CF92" i="1" s="1"/>
  <c r="CF59" i="1"/>
  <c r="CF91" i="1" s="1"/>
  <c r="CF61" i="1"/>
  <c r="CF93" i="1" s="1"/>
  <c r="CE62" i="1"/>
  <c r="CE63" i="1" s="1"/>
  <c r="CD71" i="1"/>
  <c r="CD95" i="1" s="1"/>
  <c r="CD70" i="1"/>
  <c r="CD94" i="1" s="1"/>
  <c r="CC98" i="1"/>
  <c r="CC74" i="1"/>
  <c r="CC97" i="1"/>
  <c r="CC73" i="1"/>
  <c r="CF88" i="1"/>
  <c r="CG3" i="1"/>
  <c r="CG60" i="1" l="1"/>
  <c r="CG92" i="1" s="1"/>
  <c r="CG59" i="1"/>
  <c r="CG91" i="1" s="1"/>
  <c r="CG61" i="1"/>
  <c r="CG93" i="1" s="1"/>
  <c r="CD97" i="1"/>
  <c r="CD73" i="1"/>
  <c r="CD98" i="1"/>
  <c r="CD74" i="1"/>
  <c r="CE70" i="1"/>
  <c r="CE94" i="1" s="1"/>
  <c r="CE71" i="1"/>
  <c r="CE95" i="1" s="1"/>
  <c r="CF62" i="1"/>
  <c r="CF63" i="1" s="1"/>
  <c r="CH3" i="1"/>
  <c r="CG88" i="1"/>
  <c r="CH60" i="1" l="1"/>
  <c r="CH92" i="1" s="1"/>
  <c r="CH59" i="1"/>
  <c r="CH91" i="1" s="1"/>
  <c r="CH61" i="1"/>
  <c r="CF70" i="1"/>
  <c r="CF94" i="1" s="1"/>
  <c r="CF71" i="1"/>
  <c r="CF95" i="1" s="1"/>
  <c r="CI3" i="1"/>
  <c r="CH93" i="1"/>
  <c r="CH88" i="1"/>
  <c r="CE98" i="1"/>
  <c r="CE74" i="1"/>
  <c r="CG62" i="1"/>
  <c r="CG63" i="1" s="1"/>
  <c r="CE97" i="1"/>
  <c r="CE73" i="1"/>
  <c r="CI61" i="1" l="1"/>
  <c r="CI93" i="1" s="1"/>
  <c r="CI60" i="1"/>
  <c r="CI92" i="1" s="1"/>
  <c r="CI59" i="1"/>
  <c r="CI91" i="1" s="1"/>
  <c r="CJ3" i="1"/>
  <c r="CI88" i="1"/>
  <c r="CG70" i="1"/>
  <c r="CG94" i="1" s="1"/>
  <c r="CG71" i="1"/>
  <c r="CG95" i="1" s="1"/>
  <c r="CH62" i="1"/>
  <c r="CH63" i="1" s="1"/>
  <c r="CF98" i="1"/>
  <c r="CF74" i="1"/>
  <c r="CF97" i="1"/>
  <c r="CF73" i="1"/>
  <c r="CJ61" i="1" l="1"/>
  <c r="CJ93" i="1" s="1"/>
  <c r="CJ60" i="1"/>
  <c r="CJ59" i="1"/>
  <c r="CJ91" i="1" s="1"/>
  <c r="CG98" i="1"/>
  <c r="CG74" i="1"/>
  <c r="CG97" i="1"/>
  <c r="CG73" i="1"/>
  <c r="CI62" i="1"/>
  <c r="CI63" i="1" s="1"/>
  <c r="CH70" i="1"/>
  <c r="CH94" i="1" s="1"/>
  <c r="CH71" i="1"/>
  <c r="CH95" i="1" s="1"/>
  <c r="CK3" i="1"/>
  <c r="CJ92" i="1"/>
  <c r="CJ88" i="1"/>
  <c r="CK59" i="1" l="1"/>
  <c r="CK91" i="1" s="1"/>
  <c r="CK61" i="1"/>
  <c r="CK93" i="1" s="1"/>
  <c r="CK60" i="1"/>
  <c r="CK92" i="1" s="1"/>
  <c r="CH98" i="1"/>
  <c r="CH74" i="1"/>
  <c r="CI71" i="1"/>
  <c r="CI95" i="1" s="1"/>
  <c r="CI70" i="1"/>
  <c r="CI94" i="1" s="1"/>
  <c r="CH97" i="1"/>
  <c r="CH73" i="1"/>
  <c r="CJ62" i="1"/>
  <c r="CJ63" i="1" s="1"/>
  <c r="CL3" i="1"/>
  <c r="CK88" i="1"/>
  <c r="CL59" i="1" l="1"/>
  <c r="CL91" i="1" s="1"/>
  <c r="CL61" i="1"/>
  <c r="CL93" i="1" s="1"/>
  <c r="CL60" i="1"/>
  <c r="CL92" i="1" s="1"/>
  <c r="CJ70" i="1"/>
  <c r="CJ94" i="1" s="1"/>
  <c r="CJ71" i="1"/>
  <c r="CJ95" i="1" s="1"/>
  <c r="CL88" i="1"/>
  <c r="CM3" i="1"/>
  <c r="CI98" i="1"/>
  <c r="CI74" i="1"/>
  <c r="CI73" i="1"/>
  <c r="CI97" i="1"/>
  <c r="CK62" i="1"/>
  <c r="CK63" i="1" s="1"/>
  <c r="CM59" i="1" l="1"/>
  <c r="CM91" i="1" s="1"/>
  <c r="CM61" i="1"/>
  <c r="CM93" i="1" s="1"/>
  <c r="CM60" i="1"/>
  <c r="CM92" i="1" s="1"/>
  <c r="CJ74" i="1"/>
  <c r="CJ98" i="1"/>
  <c r="CL62" i="1"/>
  <c r="CL63" i="1" s="1"/>
  <c r="CK70" i="1"/>
  <c r="CK94" i="1" s="1"/>
  <c r="CK71" i="1"/>
  <c r="CK95" i="1" s="1"/>
  <c r="CN3" i="1"/>
  <c r="CM88" i="1"/>
  <c r="CJ97" i="1"/>
  <c r="CJ73" i="1"/>
  <c r="CN60" i="1" l="1"/>
  <c r="CN92" i="1" s="1"/>
  <c r="CN59" i="1"/>
  <c r="CN91" i="1" s="1"/>
  <c r="CN61" i="1"/>
  <c r="CN93" i="1" s="1"/>
  <c r="CL71" i="1"/>
  <c r="CL95" i="1" s="1"/>
  <c r="CL70" i="1"/>
  <c r="CL94" i="1" s="1"/>
  <c r="CO3" i="1"/>
  <c r="CN88" i="1"/>
  <c r="CM62" i="1"/>
  <c r="CM63" i="1" s="1"/>
  <c r="CK98" i="1"/>
  <c r="CK74" i="1"/>
  <c r="CK97" i="1"/>
  <c r="CK73" i="1"/>
  <c r="CO60" i="1" l="1"/>
  <c r="CO92" i="1" s="1"/>
  <c r="CO59" i="1"/>
  <c r="CO91" i="1" s="1"/>
  <c r="CO61" i="1"/>
  <c r="CO93" i="1" s="1"/>
  <c r="CM71" i="1"/>
  <c r="CM95" i="1" s="1"/>
  <c r="CM70" i="1"/>
  <c r="CM94" i="1" s="1"/>
  <c r="CL98" i="1"/>
  <c r="CL74" i="1"/>
  <c r="CP3" i="1"/>
  <c r="CO88" i="1"/>
  <c r="CN62" i="1"/>
  <c r="CN63" i="1" s="1"/>
  <c r="CL97" i="1"/>
  <c r="CL73" i="1"/>
  <c r="CP60" i="1" l="1"/>
  <c r="CP92" i="1" s="1"/>
  <c r="CP59" i="1"/>
  <c r="CP91" i="1" s="1"/>
  <c r="CP61" i="1"/>
  <c r="CN71" i="1"/>
  <c r="CN95" i="1" s="1"/>
  <c r="CN70" i="1"/>
  <c r="CN94" i="1" s="1"/>
  <c r="CP93" i="1"/>
  <c r="CP88" i="1"/>
  <c r="CQ3" i="1"/>
  <c r="CM97" i="1"/>
  <c r="CM73" i="1"/>
  <c r="CO62" i="1"/>
  <c r="CO63" i="1" s="1"/>
  <c r="CM98" i="1"/>
  <c r="CM74" i="1"/>
  <c r="CQ61" i="1" l="1"/>
  <c r="CQ93" i="1" s="1"/>
  <c r="CQ60" i="1"/>
  <c r="CQ59" i="1"/>
  <c r="CQ91" i="1" s="1"/>
  <c r="CO71" i="1"/>
  <c r="CO95" i="1" s="1"/>
  <c r="CO70" i="1"/>
  <c r="CO94" i="1" s="1"/>
  <c r="CQ92" i="1"/>
  <c r="CQ88" i="1"/>
  <c r="CR3" i="1"/>
  <c r="CN97" i="1"/>
  <c r="CN73" i="1"/>
  <c r="CP62" i="1"/>
  <c r="CP63" i="1" s="1"/>
  <c r="CN98" i="1"/>
  <c r="CN74" i="1"/>
  <c r="CR61" i="1" l="1"/>
  <c r="CR93" i="1" s="1"/>
  <c r="CR60" i="1"/>
  <c r="CR92" i="1" s="1"/>
  <c r="CR59" i="1"/>
  <c r="CR91" i="1" s="1"/>
  <c r="CR88" i="1"/>
  <c r="CS3" i="1"/>
  <c r="CP71" i="1"/>
  <c r="CP95" i="1" s="1"/>
  <c r="CP70" i="1"/>
  <c r="CP94" i="1" s="1"/>
  <c r="CQ62" i="1"/>
  <c r="CQ63" i="1" s="1"/>
  <c r="CO97" i="1"/>
  <c r="CO73" i="1"/>
  <c r="CO98" i="1"/>
  <c r="CO74" i="1"/>
  <c r="CS59" i="1" l="1"/>
  <c r="CS91" i="1" s="1"/>
  <c r="CS61" i="1"/>
  <c r="CS93" i="1" s="1"/>
  <c r="CS60" i="1"/>
  <c r="CS92" i="1" s="1"/>
  <c r="CQ70" i="1"/>
  <c r="CQ94" i="1" s="1"/>
  <c r="CQ71" i="1"/>
  <c r="CQ95" i="1" s="1"/>
  <c r="CS88" i="1"/>
  <c r="CT3" i="1"/>
  <c r="CP97" i="1"/>
  <c r="CP73" i="1"/>
  <c r="CP98" i="1"/>
  <c r="CP74" i="1"/>
  <c r="CR62" i="1"/>
  <c r="CR63" i="1" s="1"/>
  <c r="CT59" i="1" l="1"/>
  <c r="CT91" i="1" s="1"/>
  <c r="CT61" i="1"/>
  <c r="CT60" i="1"/>
  <c r="CT92" i="1" s="1"/>
  <c r="CT88" i="1"/>
  <c r="CU3" i="1"/>
  <c r="CT93" i="1"/>
  <c r="CQ98" i="1"/>
  <c r="CQ74" i="1"/>
  <c r="CR71" i="1"/>
  <c r="CR95" i="1" s="1"/>
  <c r="CR70" i="1"/>
  <c r="CR94" i="1" s="1"/>
  <c r="CS62" i="1"/>
  <c r="CS63" i="1" s="1"/>
  <c r="CQ97" i="1"/>
  <c r="CQ73" i="1"/>
  <c r="CU59" i="1" l="1"/>
  <c r="CU91" i="1" s="1"/>
  <c r="CU61" i="1"/>
  <c r="CU60" i="1"/>
  <c r="CU92" i="1" s="1"/>
  <c r="CS70" i="1"/>
  <c r="CS94" i="1" s="1"/>
  <c r="CS71" i="1"/>
  <c r="CS95" i="1" s="1"/>
  <c r="CR98" i="1"/>
  <c r="CR74" i="1"/>
  <c r="CU93" i="1"/>
  <c r="CV3" i="1"/>
  <c r="CU88" i="1"/>
  <c r="CR97" i="1"/>
  <c r="CR73" i="1"/>
  <c r="CT62" i="1"/>
  <c r="CT63" i="1" s="1"/>
  <c r="CV60" i="1" l="1"/>
  <c r="CV59" i="1"/>
  <c r="CV91" i="1" s="1"/>
  <c r="CV61" i="1"/>
  <c r="CS98" i="1"/>
  <c r="CS74" i="1"/>
  <c r="CW3" i="1"/>
  <c r="CV88" i="1"/>
  <c r="CV93" i="1"/>
  <c r="CV92" i="1"/>
  <c r="CT70" i="1"/>
  <c r="CT94" i="1" s="1"/>
  <c r="CT71" i="1"/>
  <c r="CT95" i="1" s="1"/>
  <c r="CU62" i="1"/>
  <c r="CU63" i="1" s="1"/>
  <c r="CS97" i="1"/>
  <c r="CS73" i="1"/>
  <c r="CW60" i="1" l="1"/>
  <c r="CW92" i="1" s="1"/>
  <c r="CW59" i="1"/>
  <c r="CW91" i="1" s="1"/>
  <c r="CW61" i="1"/>
  <c r="CW93" i="1" s="1"/>
  <c r="CV62" i="1"/>
  <c r="CV63" i="1" s="1"/>
  <c r="CW88" i="1"/>
  <c r="CX3" i="1"/>
  <c r="CT97" i="1"/>
  <c r="CT73" i="1"/>
  <c r="CU70" i="1"/>
  <c r="CU94" i="1" s="1"/>
  <c r="CU71" i="1"/>
  <c r="CU95" i="1" s="1"/>
  <c r="CT74" i="1"/>
  <c r="CT98" i="1"/>
  <c r="CX60" i="1" l="1"/>
  <c r="CX92" i="1" s="1"/>
  <c r="CX59" i="1"/>
  <c r="CX91" i="1" s="1"/>
  <c r="CX61" i="1"/>
  <c r="CX93" i="1" s="1"/>
  <c r="CU97" i="1"/>
  <c r="CU73" i="1"/>
  <c r="CX88" i="1"/>
  <c r="CY3" i="1"/>
  <c r="CV70" i="1"/>
  <c r="CV94" i="1" s="1"/>
  <c r="CV71" i="1"/>
  <c r="CV95" i="1" s="1"/>
  <c r="CU98" i="1"/>
  <c r="CU74" i="1"/>
  <c r="CW62" i="1"/>
  <c r="CW63" i="1" s="1"/>
  <c r="CY61" i="1" l="1"/>
  <c r="CY93" i="1" s="1"/>
  <c r="CY60" i="1"/>
  <c r="CY92" i="1" s="1"/>
  <c r="CY59" i="1"/>
  <c r="CY91" i="1" s="1"/>
  <c r="C58" i="1"/>
  <c r="C57" i="1"/>
  <c r="CV97" i="1"/>
  <c r="CV73" i="1"/>
  <c r="CY88" i="1"/>
  <c r="CW70" i="1"/>
  <c r="CW94" i="1" s="1"/>
  <c r="CW71" i="1"/>
  <c r="CW95" i="1" s="1"/>
  <c r="CV98" i="1"/>
  <c r="CV74" i="1"/>
  <c r="CX62" i="1"/>
  <c r="CX63" i="1" s="1"/>
  <c r="C92" i="1" l="1"/>
  <c r="C60" i="1"/>
  <c r="CX70" i="1"/>
  <c r="CX94" i="1" s="1"/>
  <c r="CX71" i="1"/>
  <c r="CX95" i="1" s="1"/>
  <c r="CW74" i="1"/>
  <c r="CW98" i="1"/>
  <c r="CW97" i="1"/>
  <c r="CW73" i="1"/>
  <c r="C88" i="1"/>
  <c r="CY62" i="1"/>
  <c r="CY63" i="1" s="1"/>
  <c r="C56" i="1"/>
  <c r="C93" i="1"/>
  <c r="C61" i="1"/>
  <c r="C91" i="1"/>
  <c r="C59" i="1"/>
  <c r="CX98" i="1" l="1"/>
  <c r="CX74" i="1"/>
  <c r="C62" i="1"/>
  <c r="C63" i="1" s="1"/>
  <c r="CX97" i="1"/>
  <c r="CX73" i="1"/>
  <c r="CY70" i="1"/>
  <c r="CY94" i="1" s="1"/>
  <c r="CY71" i="1"/>
  <c r="CY95" i="1" s="1"/>
  <c r="CY74" i="1" l="1"/>
  <c r="C74" i="1" s="1"/>
  <c r="C71" i="1"/>
  <c r="CY73" i="1"/>
  <c r="C73" i="1" s="1"/>
  <c r="C70" i="1"/>
  <c r="CY97" i="1" l="1"/>
  <c r="C97" i="1" s="1"/>
  <c r="D4" i="13" s="1"/>
  <c r="E4" i="13" s="1"/>
  <c r="C94" i="1"/>
  <c r="E13" i="13" s="1"/>
  <c r="CY98" i="1"/>
  <c r="C98" i="1" s="1"/>
  <c r="D5" i="13" s="1"/>
  <c r="E5" i="13" s="1"/>
  <c r="C95" i="1"/>
  <c r="D7" i="13" l="1"/>
  <c r="C13" i="13"/>
  <c r="A13" i="13"/>
  <c r="B13" i="13"/>
  <c r="D13" i="13"/>
  <c r="F13" i="13" l="1"/>
</calcChain>
</file>

<file path=xl/sharedStrings.xml><?xml version="1.0" encoding="utf-8"?>
<sst xmlns="http://schemas.openxmlformats.org/spreadsheetml/2006/main" count="864" uniqueCount="597">
  <si>
    <t>Costs</t>
  </si>
  <si>
    <t>Year</t>
  </si>
  <si>
    <t>Subtotal</t>
  </si>
  <si>
    <t>Income</t>
  </si>
  <si>
    <t>Carbon</t>
  </si>
  <si>
    <t>Total Income</t>
  </si>
  <si>
    <t>Weeding</t>
  </si>
  <si>
    <t>Total</t>
  </si>
  <si>
    <t>Insurance</t>
  </si>
  <si>
    <t>Survey Work</t>
  </si>
  <si>
    <t>Verification:  years since start date</t>
  </si>
  <si>
    <t>Subtotal - claimable under WCaG to f/y 2055/56</t>
  </si>
  <si>
    <t>Subtotal - remainder not claimable under WCaG</t>
  </si>
  <si>
    <t>Total - units claimable over 100 years</t>
  </si>
  <si>
    <t>PIU Issuance</t>
  </si>
  <si>
    <t>PIU-WCU Conversion</t>
  </si>
  <si>
    <t>Validation/ Verification</t>
  </si>
  <si>
    <t xml:space="preserve">Year </t>
  </si>
  <si>
    <t>Reference Table</t>
  </si>
  <si>
    <t>N/A</t>
  </si>
  <si>
    <t>NET INCOME</t>
  </si>
  <si>
    <t>Net Income (by Vintage)</t>
  </si>
  <si>
    <t>Net Income (Cumulative)</t>
  </si>
  <si>
    <t>Total Costs (by Vintage)</t>
  </si>
  <si>
    <t>Total Costs (Cumulative)</t>
  </si>
  <si>
    <t>Description of cost</t>
  </si>
  <si>
    <t>Description of income</t>
  </si>
  <si>
    <t>Thinning income</t>
  </si>
  <si>
    <t>Clearfell income</t>
  </si>
  <si>
    <t>Version</t>
  </si>
  <si>
    <t>Changes</t>
  </si>
  <si>
    <t>Who</t>
  </si>
  <si>
    <t>Vicky West</t>
  </si>
  <si>
    <t>March 2021</t>
  </si>
  <si>
    <t>February 2018</t>
  </si>
  <si>
    <t>Additionality Spreadsheet Version 1.0</t>
  </si>
  <si>
    <t>COSTS OF INVOLVEMENT IN THE WOODLAND CARBON CODE</t>
  </si>
  <si>
    <t>Grant</t>
  </si>
  <si>
    <t>Timber</t>
  </si>
  <si>
    <t>Donations</t>
  </si>
  <si>
    <t>Share of income by source (discounted)</t>
  </si>
  <si>
    <t>Cereals</t>
  </si>
  <si>
    <t>Dairy</t>
  </si>
  <si>
    <t>General Cropping</t>
  </si>
  <si>
    <t>Specialist Cattle (LFA)</t>
  </si>
  <si>
    <t>Cattle and Sheep (LFA)</t>
  </si>
  <si>
    <t>Specialist Sheep (LFA)</t>
  </si>
  <si>
    <t>Lowland Cattle and Sheep</t>
  </si>
  <si>
    <t>Scotland</t>
  </si>
  <si>
    <t>England</t>
  </si>
  <si>
    <t>Cereal</t>
  </si>
  <si>
    <t>Grazing livestock (lowland)</t>
  </si>
  <si>
    <t>Grazing livestock (LFA)</t>
  </si>
  <si>
    <t>Specialist pig farms</t>
  </si>
  <si>
    <t>Specialist poultry farms</t>
  </si>
  <si>
    <t>Horticulture farms</t>
  </si>
  <si>
    <t>Country</t>
  </si>
  <si>
    <t>Species</t>
  </si>
  <si>
    <t>Project ID</t>
  </si>
  <si>
    <t>Registration</t>
  </si>
  <si>
    <t>Wales</t>
  </si>
  <si>
    <t>Northern Ireland</t>
  </si>
  <si>
    <t>Grass</t>
  </si>
  <si>
    <t>Potatoes</t>
  </si>
  <si>
    <t>Rough grazing</t>
  </si>
  <si>
    <t>Cost (£)</t>
  </si>
  <si>
    <t>Rabbit netting</t>
  </si>
  <si>
    <t>Unit</t>
  </si>
  <si>
    <t>Each</t>
  </si>
  <si>
    <t>Hectare</t>
  </si>
  <si>
    <t>1-100</t>
  </si>
  <si>
    <t>Management to 10ha</t>
  </si>
  <si>
    <t>Management 10ha+</t>
  </si>
  <si>
    <t>Fertiliser</t>
  </si>
  <si>
    <t>£/ha</t>
  </si>
  <si>
    <t>Metre</t>
  </si>
  <si>
    <t>Value (£)</t>
  </si>
  <si>
    <t>SS</t>
  </si>
  <si>
    <t>Broadleaves - SAB (1.5m spacing)</t>
  </si>
  <si>
    <t>Cashflow</t>
  </si>
  <si>
    <t>Total Income at each Clearfell</t>
  </si>
  <si>
    <t>Income alternative landuse</t>
  </si>
  <si>
    <t>No of trees</t>
  </si>
  <si>
    <t>Sapling Purchase</t>
  </si>
  <si>
    <t>Planting Cost</t>
  </si>
  <si>
    <t>Beating Up Year 3 (5%)</t>
  </si>
  <si>
    <t>Beating Up Year 2 (10%)</t>
  </si>
  <si>
    <t>Forage/other</t>
  </si>
  <si>
    <t>Horticulture</t>
  </si>
  <si>
    <t>Pigs and poultry</t>
  </si>
  <si>
    <t>Cattle &amp; sheep (LFA)</t>
  </si>
  <si>
    <t>Beating Up Year 1 (15%)</t>
  </si>
  <si>
    <t>Total Sapling plus Planting</t>
  </si>
  <si>
    <t>Other landuse type</t>
  </si>
  <si>
    <t>Other farming (Not Cattle, Sheep or Dairy)</t>
  </si>
  <si>
    <t>£/hectare</t>
  </si>
  <si>
    <t>Residual income @project duration</t>
  </si>
  <si>
    <t>Clearfell Volume (m3)</t>
  </si>
  <si>
    <t>Income/ha - Check</t>
  </si>
  <si>
    <t>Residual timber value</t>
  </si>
  <si>
    <t>1, 38,76</t>
  </si>
  <si>
    <t>1, 60</t>
  </si>
  <si>
    <t>18, 23, 28, 33</t>
  </si>
  <si>
    <t>20, 25, 30, 35, 40, 45, 50, 55</t>
  </si>
  <si>
    <t>Number of years received</t>
  </si>
  <si>
    <t>** Grant, donations and other income are specific to project</t>
  </si>
  <si>
    <t>NPV/ha</t>
  </si>
  <si>
    <t>Beating up</t>
  </si>
  <si>
    <t>Farm Types by Country</t>
  </si>
  <si>
    <t>Select Farm Type</t>
  </si>
  <si>
    <t>Select Country First</t>
  </si>
  <si>
    <t>Northern_Ireland</t>
  </si>
  <si>
    <t>No Years BPS paid for</t>
  </si>
  <si>
    <t>Lookup column</t>
  </si>
  <si>
    <t>Select_Farm_Type</t>
  </si>
  <si>
    <t>BPS paid for first x years</t>
  </si>
  <si>
    <t>Right of this line will be hidden</t>
  </si>
  <si>
    <t>Area (ha)</t>
  </si>
  <si>
    <t>Hand screefing/turfing</t>
  </si>
  <si>
    <t>Scarification</t>
  </si>
  <si>
    <t>Mounding</t>
  </si>
  <si>
    <t>Ploughing</t>
  </si>
  <si>
    <t>Drains</t>
  </si>
  <si>
    <t>Sources:</t>
  </si>
  <si>
    <t>Conifer timber price</t>
  </si>
  <si>
    <t>Broadleaved timber price</t>
  </si>
  <si>
    <t>Sitka spruce rotation 2</t>
  </si>
  <si>
    <t>Sitka spruce rotation 3</t>
  </si>
  <si>
    <t>56, 61, 66, 71</t>
  </si>
  <si>
    <t>Sitka spruce rotation 1</t>
  </si>
  <si>
    <t>Other conifers (NS) rotation 1</t>
  </si>
  <si>
    <t>Other conifers (NS) rotation 2</t>
  </si>
  <si>
    <t>Carbon income</t>
  </si>
  <si>
    <t>Source</t>
  </si>
  <si>
    <t>Category</t>
  </si>
  <si>
    <t>3x year 1, 2x year 2, 1x year 3, repeated at each restock</t>
  </si>
  <si>
    <t>Activity</t>
  </si>
  <si>
    <t>Broadleaf</t>
  </si>
  <si>
    <t>Fencing</t>
  </si>
  <si>
    <t>1, plus restock of conifers</t>
  </si>
  <si>
    <t>Ongoing woodland management</t>
  </si>
  <si>
    <t>None</t>
  </si>
  <si>
    <t>Ground Prep (Mounding) at Restock</t>
  </si>
  <si>
    <t>Total cost (Year 1)</t>
  </si>
  <si>
    <t>Cost of maintenance</t>
  </si>
  <si>
    <t>Discount Rate</t>
  </si>
  <si>
    <t>3.5% Declining</t>
  </si>
  <si>
    <t>Fencing and tracks/roads</t>
  </si>
  <si>
    <t>Cost of Establishment</t>
  </si>
  <si>
    <t>Weeding Year 2 (twice)</t>
  </si>
  <si>
    <t>Weeding Year 3 (Once)</t>
  </si>
  <si>
    <t>Weeding Year 1 (3 times)</t>
  </si>
  <si>
    <t xml:space="preserve">Validation </t>
  </si>
  <si>
    <t>Validation</t>
  </si>
  <si>
    <t>Group 2-4</t>
  </si>
  <si>
    <t>Group 10-15</t>
  </si>
  <si>
    <t>Group 5-9</t>
  </si>
  <si>
    <t>Verification</t>
  </si>
  <si>
    <t>Validation - Group Total</t>
  </si>
  <si>
    <t>Verification - Group Total</t>
  </si>
  <si>
    <t>Per project</t>
  </si>
  <si>
    <t>Central to group</t>
  </si>
  <si>
    <t>Soil Association</t>
  </si>
  <si>
    <t>OF&amp;G</t>
  </si>
  <si>
    <t>Group 2-5</t>
  </si>
  <si>
    <t>Group 6-10</t>
  </si>
  <si>
    <t>Group 11-15</t>
  </si>
  <si>
    <t>Single</t>
  </si>
  <si>
    <t>Group</t>
  </si>
  <si>
    <t>Staff/contractor welfare on-site</t>
  </si>
  <si>
    <t>Agricultural Income Forgone</t>
  </si>
  <si>
    <t>Data source</t>
  </si>
  <si>
    <t>Reference/link</t>
  </si>
  <si>
    <t>** This lookup determines which carbon values to take - non-guarantee, guarantee with</t>
  </si>
  <si>
    <t>10-yearly verification or guarantee with 5-yearly verification</t>
  </si>
  <si>
    <t>Number</t>
  </si>
  <si>
    <t>Gates</t>
  </si>
  <si>
    <t>Results</t>
  </si>
  <si>
    <t>Ground Preparation DropDown List</t>
  </si>
  <si>
    <t>STPR (Standard)</t>
  </si>
  <si>
    <t>Volume (m3 overbark standing/ha)</t>
  </si>
  <si>
    <t>When income received</t>
  </si>
  <si>
    <t xml:space="preserve">Using a consistent carbon price across all projects allows comparison of the relative impact of </t>
  </si>
  <si>
    <t>FR Forest Yield</t>
  </si>
  <si>
    <t>FR Timber Price Indices</t>
  </si>
  <si>
    <t>carbon finance.</t>
  </si>
  <si>
    <t>BPS</t>
  </si>
  <si>
    <t>GiB Sycamore Data Sheet</t>
  </si>
  <si>
    <t>20, 40, 60, 80</t>
  </si>
  <si>
    <t>35, 70</t>
  </si>
  <si>
    <t>Vole Guards</t>
  </si>
  <si>
    <t>Initial clearance</t>
  </si>
  <si>
    <t>80, 85, 90, 95, 100</t>
  </si>
  <si>
    <t>Share of income sources</t>
  </si>
  <si>
    <t>** Assumes standardised timber income (£/m3 overbark standing)</t>
  </si>
  <si>
    <t>TOGGLES FOR SF</t>
  </si>
  <si>
    <t>Spacing</t>
  </si>
  <si>
    <t>Fence upgrade/repair</t>
  </si>
  <si>
    <t>Vicky West, Andrew Baker, Heather Conejo</t>
  </si>
  <si>
    <t>Any year contractor is onsite for planting, beating up, thinning, clearfelling</t>
  </si>
  <si>
    <t>Source/Notes</t>
  </si>
  <si>
    <t>Per tree</t>
  </si>
  <si>
    <t>Existing fence upgrade/repair</t>
  </si>
  <si>
    <t>Cropping</t>
  </si>
  <si>
    <t>Grazing Livestock (Lowland)</t>
  </si>
  <si>
    <t>Poultry</t>
  </si>
  <si>
    <t>FBS data builder (farmbusinesssurvey.co.uk)</t>
  </si>
  <si>
    <t xml:space="preserve"> Project NPV</t>
  </si>
  <si>
    <t>Validation - Group Total - Costs from SA</t>
  </si>
  <si>
    <t>Verification - Group Total - Costs from SA</t>
  </si>
  <si>
    <t>T&amp;S ** Estimated for verification</t>
  </si>
  <si>
    <t>Pigs</t>
  </si>
  <si>
    <t>31, 36, 41, 46, 51, 56, 61, 66, 71</t>
  </si>
  <si>
    <t>Arable</t>
  </si>
  <si>
    <t>Forest Expansion Scheme Questions and Answers 2020-2021.pdf (daera-ni.gov.uk)</t>
  </si>
  <si>
    <t>Cattle and sheep (LFA)</t>
  </si>
  <si>
    <t>Other pest protection</t>
  </si>
  <si>
    <t>https://www.fas.scot/downloads/sf-forestry-grant-scheme-woodland-creation/</t>
  </si>
  <si>
    <t>Glastir Woodland Creation (window 11, September 2021): rules booklet [HTML] | GOV.WALES</t>
  </si>
  <si>
    <t>Establishment</t>
  </si>
  <si>
    <t>Maintenance</t>
  </si>
  <si>
    <t>Annual</t>
  </si>
  <si>
    <t>See cashflow</t>
  </si>
  <si>
    <t>Years when verification occurs</t>
  </si>
  <si>
    <t>Survey work</t>
  </si>
  <si>
    <t>Unit issuance</t>
  </si>
  <si>
    <t>Minimum fee</t>
  </si>
  <si>
    <t>Gross Carbon Income Once Verified (Cumulative)</t>
  </si>
  <si>
    <t>Carbon Income  Up Front (year 0)</t>
  </si>
  <si>
    <t>Summary Validation/Verification prices                                                        (Source: Soil Assoc and OF&amp;G)</t>
  </si>
  <si>
    <t>April 2022</t>
  </si>
  <si>
    <t>Minimum intervention broadleaves</t>
  </si>
  <si>
    <t>Broadleaves thin, clearfell or CCF</t>
  </si>
  <si>
    <t>Other conifers thin, clearfell or CCF</t>
  </si>
  <si>
    <t>Vehicle access gate maintenance</t>
  </si>
  <si>
    <t>Pedestrian gate maintenance</t>
  </si>
  <si>
    <t>Per gate</t>
  </si>
  <si>
    <t>Per shelter</t>
  </si>
  <si>
    <t>Per guard</t>
  </si>
  <si>
    <t>Natural regeneration broadleaves</t>
  </si>
  <si>
    <t>Validating as a single project or part of a group?</t>
  </si>
  <si>
    <t>Cap on length (m):</t>
  </si>
  <si>
    <t>Squirrel: Purchase and installation of traps at year 15</t>
  </si>
  <si>
    <t>Scots pine thin, clearfell or CCF</t>
  </si>
  <si>
    <t>Minimum intervention Scots pine</t>
  </si>
  <si>
    <t>Natural regeneration Scots pine</t>
  </si>
  <si>
    <t>Staff/contractor onsite welfare</t>
  </si>
  <si>
    <t>Grants</t>
  </si>
  <si>
    <t>Income/             Costs (%)</t>
  </si>
  <si>
    <t xml:space="preserve">Tree Shelter Removal +10 years after planting/restock </t>
  </si>
  <si>
    <t>Single project</t>
  </si>
  <si>
    <t>November 2022</t>
  </si>
  <si>
    <t>Updating Income Forgone England Cattle and Sheep (Lowland), Income Forgone Scotland Cattle and Sheep (LFA), threshold for fence length in costs, other minor inconsistencies.</t>
  </si>
  <si>
    <t>2.2.1</t>
  </si>
  <si>
    <t>Are you using the Woodland Carbon Guarantee (WCaG)?</t>
  </si>
  <si>
    <t>Are you verifying 5-yearly or 10-yearly?</t>
  </si>
  <si>
    <t>Yes</t>
  </si>
  <si>
    <t>Cap on Pre-Planting Survey Work</t>
  </si>
  <si>
    <t>Fixed amount up to 10ha</t>
  </si>
  <si>
    <t>** This is not the master - see Vicky's other version</t>
  </si>
  <si>
    <t>Updated to 2023 current prices however</t>
  </si>
  <si>
    <t>No</t>
  </si>
  <si>
    <t>Spiral and cane purchase and installation</t>
  </si>
  <si>
    <t>1.2 Tree Shelter &amp; Stake Year 0</t>
  </si>
  <si>
    <t>Spiral and cane tree shelter Year 0</t>
  </si>
  <si>
    <t>For reference only. This tab presents all of the information you have provided in the Data Entry tab in a discounted cashflow to determine whether or not your project is currently financially additional.</t>
  </si>
  <si>
    <t>For reference only. This tab outlines the standard costs used in the cashflow.</t>
  </si>
  <si>
    <t>Vole guards %</t>
  </si>
  <si>
    <t>Stock fencing</t>
  </si>
  <si>
    <t>Deer fencing</t>
  </si>
  <si>
    <t>Net area (hectares)</t>
  </si>
  <si>
    <t>Project start year</t>
  </si>
  <si>
    <t>Project duration (years)</t>
  </si>
  <si>
    <t>Date of calculation</t>
  </si>
  <si>
    <t>Name of person completing cashflow</t>
  </si>
  <si>
    <t>Project name</t>
  </si>
  <si>
    <t>Green cells indicate user input required</t>
  </si>
  <si>
    <t>Planning grant</t>
  </si>
  <si>
    <t>Capital grant</t>
  </si>
  <si>
    <t>Maintenance payments</t>
  </si>
  <si>
    <t>Woodland creation management planning and design</t>
  </si>
  <si>
    <t>Length (m)</t>
  </si>
  <si>
    <t>Other regular payments/sponsorships/donations (specify)</t>
  </si>
  <si>
    <t>Other grant (specify)</t>
  </si>
  <si>
    <t>One-off payments/sponsorships/donations (specify)</t>
  </si>
  <si>
    <t>Year received</t>
  </si>
  <si>
    <t>Blue cells provide further information</t>
  </si>
  <si>
    <t>Timber road building (can support heavy timber haulage)</t>
  </si>
  <si>
    <t>Net area (ha)</t>
  </si>
  <si>
    <t>Fertiliser purchase and application</t>
  </si>
  <si>
    <t>Total conifers</t>
  </si>
  <si>
    <t>Total broadleaves</t>
  </si>
  <si>
    <t>Total net area</t>
  </si>
  <si>
    <t>Will you continue to claim the Basic Payment Scheme (BPS)?</t>
  </si>
  <si>
    <t>Section 1: Project details</t>
  </si>
  <si>
    <t>A. Pre-planting work</t>
  </si>
  <si>
    <t>B. Infrastructure</t>
  </si>
  <si>
    <t>C. Site preparation</t>
  </si>
  <si>
    <t>E. Species, spacing and tree protection</t>
  </si>
  <si>
    <t>F. Ongoing costs</t>
  </si>
  <si>
    <t>Section 3: Income</t>
  </si>
  <si>
    <t>A. Grant support</t>
  </si>
  <si>
    <t>B. Other regular payments/sponsorships/donations</t>
  </si>
  <si>
    <t>C. Other one-off payments/sponsorships/donations</t>
  </si>
  <si>
    <t>Section 5: Carbon sequestration</t>
  </si>
  <si>
    <t>D. Ground preparation</t>
  </si>
  <si>
    <t>Farm/landuse type</t>
  </si>
  <si>
    <t>Cattle and sheep (Lowland)</t>
  </si>
  <si>
    <t>Gross area including 10% open ground (ha)</t>
  </si>
  <si>
    <t>Data sources for Less Favoured Area (LFA) and Land Capability for Agriculture (LCA) data:</t>
  </si>
  <si>
    <t>Version 1: For projects NOT applying to the Woodland Carbon Guarantee in England</t>
  </si>
  <si>
    <t>Version 3: For projects applying to the Woodland Carbon Guarantee in England, wishing to claim at 5-yearly verifications</t>
  </si>
  <si>
    <t>Version 2: For projects applying to the Woodland Carbon Guarantee in England, wishing to claim at 10-yearly verifications</t>
  </si>
  <si>
    <t>Standardised costs and incomes where possible to ensure consistency, predictability and robustness across all projects. Reintegrated Income Forgone/Current Landuse and Forestry scenarios.</t>
  </si>
  <si>
    <t>Andrew Baker</t>
  </si>
  <si>
    <t>0.5% of crop value</t>
  </si>
  <si>
    <t>Average price in real terms (2024 prices, £ per m3 over bark, 5-year average)</t>
  </si>
  <si>
    <t>Coniferous Standing Sales Price Index, 2024</t>
  </si>
  <si>
    <t>Tube and stake purchase and installation</t>
  </si>
  <si>
    <t>15% of total area year 1, 10% of total area year 2, 5% of total area year 3, repeated at each restock</t>
  </si>
  <si>
    <t>Broadleaves thinning volumes/prices</t>
  </si>
  <si>
    <t>Conifers thinning volumes/prices</t>
  </si>
  <si>
    <t>Conifers clearfell volumes/prices</t>
  </si>
  <si>
    <t xml:space="preserve">Scots pine </t>
  </si>
  <si>
    <t>Timber volumes</t>
  </si>
  <si>
    <t>Forest Yield - thinning volume based on intermediate thinning</t>
  </si>
  <si>
    <t>Grown in Britain - Sycamore data sheet. Average tree size from Forest Yield * Standing value 2022 and 2023 prices inflated to 2024 prices</t>
  </si>
  <si>
    <t>No clearfell for broadleaves</t>
  </si>
  <si>
    <t>Upfront (PIUs)</t>
  </si>
  <si>
    <t>Clearfell/thinning age</t>
  </si>
  <si>
    <t>Yield class</t>
  </si>
  <si>
    <t>Max insurance value based on clearfell age - 2025</t>
  </si>
  <si>
    <t>Woodland Creation Planning Grant (England)</t>
  </si>
  <si>
    <t>Average of plant catalogues and EWCO Standard Cost 'Supplement for use of individual tree shelters'</t>
  </si>
  <si>
    <t>Average of plant catalogues and EWCO Standard Cost 'Supplement for use of individual tree wraps'</t>
  </si>
  <si>
    <t>Grant rates plus sector feedback</t>
  </si>
  <si>
    <t>Average of current costs for OF&amp;G and SA for single project verification</t>
  </si>
  <si>
    <t>Type of farm</t>
  </si>
  <si>
    <t>Comments/source</t>
  </si>
  <si>
    <t>Data sources</t>
  </si>
  <si>
    <t>Agricultural income</t>
  </si>
  <si>
    <t>Number of years BPS continues</t>
  </si>
  <si>
    <t>Data entry</t>
  </si>
  <si>
    <t>Cost data</t>
  </si>
  <si>
    <t>Income data</t>
  </si>
  <si>
    <t>Income forgone and BPS data</t>
  </si>
  <si>
    <t>CARBON INCOME</t>
  </si>
  <si>
    <t>Tree protection removal</t>
  </si>
  <si>
    <t>Vole guards</t>
  </si>
  <si>
    <t>Deer control</t>
  </si>
  <si>
    <t>Squirrel control</t>
  </si>
  <si>
    <t>£0.17/position, assuming 2500 stems/ha</t>
  </si>
  <si>
    <t>Averaged from SF grant, EWCO rate and plant catalogues</t>
  </si>
  <si>
    <t>Stakeholder feedback</t>
  </si>
  <si>
    <t>Feedback from FLS Civil Engineering</t>
  </si>
  <si>
    <t>Feedback from sector, includes minimum visitor management for H&amp;S</t>
  </si>
  <si>
    <t>56.5p/metre and 150m drains/ha</t>
  </si>
  <si>
    <t>Minimum insurance premium based on 0.5% of restock value. Feedback from insurers and sector.</t>
  </si>
  <si>
    <t>Feedback from sector</t>
  </si>
  <si>
    <t>Admin Validation and Verification</t>
  </si>
  <si>
    <t>** Assumes all carbon units sold upfront at £23.30 each</t>
  </si>
  <si>
    <t>** Assuming consistent prices for carbon and timber allows comparison of the relative impact of these incomes. As and when better carbon and timber price information becomes available, this cashflow will be updated.</t>
  </si>
  <si>
    <t>** See 'Income Data' for assumptions about carbon and timber prices</t>
  </si>
  <si>
    <t>Financial test result</t>
  </si>
  <si>
    <t>Financial test</t>
  </si>
  <si>
    <t>NPV woodland excluding carbon:</t>
  </si>
  <si>
    <t>NPV alternative landuse:</t>
  </si>
  <si>
    <t xml:space="preserve">Financial test outcome: </t>
  </si>
  <si>
    <t>FAQs</t>
  </si>
  <si>
    <t>For reference only. This tab outlines the standard incomes used in the cashflow.</t>
  </si>
  <si>
    <t>Tabs in this spreadsheet:</t>
  </si>
  <si>
    <t>Gross area - assumes gross area includes 10% open ground (hectares)</t>
  </si>
  <si>
    <t>Section 2: Project costs</t>
  </si>
  <si>
    <t>Vehicle access gates</t>
  </si>
  <si>
    <t>Pedestrian gates</t>
  </si>
  <si>
    <t>Woodland creation planning costs</t>
  </si>
  <si>
    <t>Woodland creation management planning/surveys - up to 10ha</t>
  </si>
  <si>
    <t>Woodland creation management planning/surveys - area above 10ha</t>
  </si>
  <si>
    <t>Bracken control</t>
  </si>
  <si>
    <t>Gorse removal</t>
  </si>
  <si>
    <t>Other conifer</t>
  </si>
  <si>
    <t>Site preparation</t>
  </si>
  <si>
    <t>Ground preparation</t>
  </si>
  <si>
    <t>Sapling purchase</t>
  </si>
  <si>
    <t>Sapling planting</t>
  </si>
  <si>
    <t>Tree protection</t>
  </si>
  <si>
    <t>Weeding and beating up</t>
  </si>
  <si>
    <t>Roads and tracks</t>
  </si>
  <si>
    <t>Insurance premium/ha</t>
  </si>
  <si>
    <t>Deer fencing up to 1,585m (sufficient to fence 20ha gross area)</t>
  </si>
  <si>
    <t>Deer fencing above 1,585m (sufficient to fence 20ha gross area)</t>
  </si>
  <si>
    <t>Timber supporting road building</t>
  </si>
  <si>
    <t>Track creation</t>
  </si>
  <si>
    <t>Drains maintenance</t>
  </si>
  <si>
    <t>Fence maintenance</t>
  </si>
  <si>
    <t>Road maintenance</t>
  </si>
  <si>
    <t>Track maintenance</t>
  </si>
  <si>
    <t>Insurance - minimum premium</t>
  </si>
  <si>
    <t>Validation - administration cost</t>
  </si>
  <si>
    <t>Y5 Verification - administration cost</t>
  </si>
  <si>
    <t>Y5 Verification - verification fee</t>
  </si>
  <si>
    <t>Validation fee</t>
  </si>
  <si>
    <t>Y15+ Verification - administration cost</t>
  </si>
  <si>
    <t>Y15+ Verification - verification fee</t>
  </si>
  <si>
    <t>PIU issuance</t>
  </si>
  <si>
    <t>WCC levy</t>
  </si>
  <si>
    <t>PIU to WCU conversion</t>
  </si>
  <si>
    <t>Conifers - 0.5% of value of crop (based on value of crop up to clearfell value, minimum £35/ha)</t>
  </si>
  <si>
    <t>Per project (single)</t>
  </si>
  <si>
    <t>Per project (grouped)</t>
  </si>
  <si>
    <t>Per unit</t>
  </si>
  <si>
    <t>Per hectare rate if over 10ha</t>
  </si>
  <si>
    <t>£100 (PIU issuance plus WCC levy)</t>
  </si>
  <si>
    <t>£100 single project, £14.29 group of projects</t>
  </si>
  <si>
    <t>Small woods reduced survey cost if using small woods calculator</t>
  </si>
  <si>
    <t xml:space="preserve">EWCO standard cost for chemical bracken control </t>
  </si>
  <si>
    <t>EWCO standard cost for scarification for natural colonisation</t>
  </si>
  <si>
    <t>£0.226/position, assuming 2500 stems/ha</t>
  </si>
  <si>
    <t>£1.13/m assuming 150m drains/ha - Scottish grant cost/limit</t>
  </si>
  <si>
    <t>England Woodland Creation Offer (EWCO) standard cost for chemical bracken control</t>
  </si>
  <si>
    <t>Sector feedback</t>
  </si>
  <si>
    <t>Scottish grant cost uplifted to 100% plus inflation</t>
  </si>
  <si>
    <t>Cost of auto trap at £60 - cost of installation £40 - one trap per hectare</t>
  </si>
  <si>
    <t>Averaged from three SF grant rates for different tree stocking densities</t>
  </si>
  <si>
    <t>Averaged from Scottish Forestry (SF) grant, EWCO rate and plant catalogues</t>
  </si>
  <si>
    <t>Average of EWCO standard cost 'Post and wire fencing' and Welsh grant fencing rates</t>
  </si>
  <si>
    <t>Feedback from Forestry and Land Scotland (FLS) civil engineering</t>
  </si>
  <si>
    <t>Feedback from FLS civil engineering</t>
  </si>
  <si>
    <t>Ongoing management costs</t>
  </si>
  <si>
    <t>Section 4: Alternative landuse</t>
  </si>
  <si>
    <t>Calendar year</t>
  </si>
  <si>
    <t>Planting, establishment and management costs</t>
  </si>
  <si>
    <t>Annual/other costs</t>
  </si>
  <si>
    <t>Woodland Carbon Code costs</t>
  </si>
  <si>
    <t>Total costs</t>
  </si>
  <si>
    <t>Timber/woodfuel</t>
  </si>
  <si>
    <t>Woodland creation planning</t>
  </si>
  <si>
    <t>Bracken/scrub/gorse removal</t>
  </si>
  <si>
    <t>Ground preparation - hand screefing</t>
  </si>
  <si>
    <t>Ground preparation - scarification</t>
  </si>
  <si>
    <t>Ground preparation - mounding</t>
  </si>
  <si>
    <t>Ground preparation - ploughing</t>
  </si>
  <si>
    <t>Drains - creation and maintenance</t>
  </si>
  <si>
    <t>Road building</t>
  </si>
  <si>
    <t>Sapling purchase - conifer</t>
  </si>
  <si>
    <t>Sapling purchase - broadleaf</t>
  </si>
  <si>
    <t>Planting - conifer</t>
  </si>
  <si>
    <t>Planting - broadleaf</t>
  </si>
  <si>
    <t>Purchase and installation of tree shelters/spirals</t>
  </si>
  <si>
    <t>Beating up conifers</t>
  </si>
  <si>
    <t>Beating up broadleaves</t>
  </si>
  <si>
    <t>Tree shelter removal</t>
  </si>
  <si>
    <t>Ongoing management</t>
  </si>
  <si>
    <t>Squirrel control at year 15</t>
  </si>
  <si>
    <t>Unit issuance and conversion</t>
  </si>
  <si>
    <t>Validation and verification</t>
  </si>
  <si>
    <t>Administrative cost</t>
  </si>
  <si>
    <t>Maintenance grant</t>
  </si>
  <si>
    <t>Basic Payment Scheme payments</t>
  </si>
  <si>
    <t>Sitka spruce - thinned</t>
  </si>
  <si>
    <t>Scots pine - thinned</t>
  </si>
  <si>
    <t>Norway spruce - thinned</t>
  </si>
  <si>
    <t>As and when more accurate price information becomes available we will update the carbon value used.</t>
  </si>
  <si>
    <t>Farm Business Income (FBI - excluding diversification) in 2024 prices (averaged over 5 years)</t>
  </si>
  <si>
    <t>Copy financial test results and the 'Share of Income by Source' table into your project design document</t>
  </si>
  <si>
    <t>NPV woodland including carbon (for information only):</t>
  </si>
  <si>
    <t>1. Which cashflow version should I use?</t>
  </si>
  <si>
    <t>2. Why do we need financial additionality?</t>
  </si>
  <si>
    <t>4. Why is there a cap on tracks/roads? And why is road building locked at year 15?</t>
  </si>
  <si>
    <t>5. Why can't I use my own costs?</t>
  </si>
  <si>
    <t>6. Why are management regimes and yield classes locked?</t>
  </si>
  <si>
    <t>8. How often will the data in the spreadsheet be updated?</t>
  </si>
  <si>
    <t>Frequently asked questions. This tab provides background and context to the financial additionality test used.</t>
  </si>
  <si>
    <t>For reference only. This tab outlines the standard income forgone and Basic Payment Scheme (BPS) data used in the cashflow.</t>
  </si>
  <si>
    <t>Please enter all relevant details from your project into the green cells on this tab. The data you enter is combined with standardised costs and income to generate a project-specific cashflow. Projects shall provide proof of all activities undertaken on site.</t>
  </si>
  <si>
    <t>Total fence</t>
  </si>
  <si>
    <t>Sitka spruce thin, clearfell or continuous cover forestry (CCF)</t>
  </si>
  <si>
    <t>Sapling purchase and planting cost</t>
  </si>
  <si>
    <t>Average of current costs for Organic Farmer and Growers (OF&amp;G) and the Soil Association (SA) for single project verification</t>
  </si>
  <si>
    <t>Disclaimer of warranty</t>
  </si>
  <si>
    <t>WCC Cashflow Tab: Added the Current Landuse Scenario Tab and Carbon Income and Costs Tab to feed into the Woodland Scenario. Other changes for clarity.</t>
  </si>
  <si>
    <t>Version date</t>
  </si>
  <si>
    <t>Woodland Carbon Code website</t>
  </si>
  <si>
    <t>Registration - administration cost</t>
  </si>
  <si>
    <t>https://www.gov.scot/collections/scottish-farm-business-income-fbi-annual-estimates/</t>
  </si>
  <si>
    <t>Farm Incomes in Northern Ireland 2004 onwards | Department of Agriculture, Environment and Rural Affairs</t>
  </si>
  <si>
    <t>Average Basic Payment Scheme (BPS) payments in 2024 prices (averaged over 5 years)</t>
  </si>
  <si>
    <t>Weighted average of "Cereal" and "General Cropping" categories in English dataset</t>
  </si>
  <si>
    <t>"Cereal" category in NI dataset</t>
  </si>
  <si>
    <t>"Cropping" category in Welsh dataset updated using average rate of change for LFA and Lowland values due to lack of data</t>
  </si>
  <si>
    <t>Estimated cost of administration by third party or in own time (sector feedback)</t>
  </si>
  <si>
    <t xml:space="preserve">A fundamental principle of carbon markets is financial additionality. Buyers of carbon units need confidence that their investment has led to more carbon being sequestered than would otherwise have happened under a 'business as usual' scenario — in other words, that it has resulted in additional woodland creation. To ensure this, carbon standard bodies apply robust additionality tests that uphold the credibility of the carbon credits issued. </t>
  </si>
  <si>
    <t>3. Can I plant commercial conifers and still remain eligible for the Woodland Carbon Code?</t>
  </si>
  <si>
    <t xml:space="preserve">We use standardised costs to create a clear, objective basis for assessing all projects under the Woodland Carbon Code. Allowing each applicant to input their own figures could introduce a lot of variation, making it difficult to have confidence that all projects are assessed consistently. 
This approach also helps avoid unintentionally skewing the financial case for a project — especially where cost estimates might be optimistic or hard to evidence. While we recognise that actual costs on the ground may differ, using standard values helps us apply the additionality test in a fair and transparent way. </t>
  </si>
  <si>
    <t xml:space="preserve">We fix yield classes and management regimes in the financial model to provide a consistent and realistic assessment of how different species typically perform. This helps ensure that projected returns reflect the productive potential of the woodland, rather than being based on overly cautious or optimistic assumptions. 
By using standard assumptions, we can assess projects more objectively and protect the integrity of the Woodland Carbon Code. </t>
  </si>
  <si>
    <t xml:space="preserve">We apply a cap to tracks and roads, and fix the cost of building roads at year 15 in the financial model, to ensure a consistent and fair approach across all projects. Without these limits, there could be a risk of overestimating infrastructure costs — particularly early in a project — which could artificially inflate the financial need of a project and affect the additionality assessment. 
Standardising costs and timing allows a more consistent approach across projects and maintains the credibility of the Woodland Carbon Code.  </t>
  </si>
  <si>
    <t>7. Why can't I input a higher gross area than the one automatically calculated?</t>
  </si>
  <si>
    <t xml:space="preserve">The gross area of the site is important as it is used to calculate the income forgone for the project, i.e. how much money from the existing use of the land is being "given up" to commit to woodland creation instead. It is assumed that the gross area makes up 10% of the total project area, based on the net planted area provided, as this is the minimum amount of open ground required under the UK Forestry Standard. 
We appreciate that some projects may have larger areas of open ground than this and understandably want to include this in their income forgone calculation. Unfortunately it can get very tricky to "prove" that this larger area of open ground is forgoing any other income for the entire lifetime of the project, which means that a 10% rate applied to all projects is the fairest way of assessing projects consistently. </t>
  </si>
  <si>
    <t>Frequently asked questions</t>
  </si>
  <si>
    <t xml:space="preserve">Updated costs, income forgone and timber values. Removed specific cap for fencing, instead basing cost of fencing on grant contract. Insurance premium reduced to 0.5% of value of crop. Provided definition for roads vs tracks. For tree protection, allowed for specific percentage values to be entered. Added new category for tree protection - spirals and canes. Added Frequently Asked Questions (FAQs) tab. </t>
  </si>
  <si>
    <r>
      <t xml:space="preserve">Average tree spacing (m)                                                     </t>
    </r>
    <r>
      <rPr>
        <i/>
        <sz val="11"/>
        <rFont val="Arial"/>
        <family val="2"/>
      </rPr>
      <t xml:space="preserve">  </t>
    </r>
    <r>
      <rPr>
        <sz val="11"/>
        <rFont val="Arial"/>
        <family val="2"/>
      </rPr>
      <t>Enter a number between 0.0 and 5.0 m spacing</t>
    </r>
  </si>
  <si>
    <r>
      <t xml:space="preserve">Tree shelters %
</t>
    </r>
    <r>
      <rPr>
        <sz val="11"/>
        <rFont val="Arial"/>
        <family val="2"/>
      </rPr>
      <t>Stake and tube</t>
    </r>
  </si>
  <si>
    <r>
      <t xml:space="preserve">Tree shelters %
</t>
    </r>
    <r>
      <rPr>
        <sz val="11"/>
        <rFont val="Arial"/>
        <family val="2"/>
      </rPr>
      <t>Spiral and cane</t>
    </r>
  </si>
  <si>
    <t>August 2025</t>
  </si>
  <si>
    <t>Select one</t>
  </si>
  <si>
    <t>Track creation (cannot support heavy timber haulage but require some form of ongoing maintenance such as mowing)</t>
  </si>
  <si>
    <t>https://www.gov.uk/guidance/delinked-payments-replacing-the-basic-payment-scheme</t>
  </si>
  <si>
    <t>Are you using the small woods carbon calculator (less than 10ha)?</t>
  </si>
  <si>
    <t>**Based on project start date.</t>
  </si>
  <si>
    <t>**Acknowledging that all projects have costs associated with project planning and design.</t>
  </si>
  <si>
    <t>**Total fence length shall not exceed the maximum length eligible for funding under your grant contract. If you do not receive a grant please contact the Woodland Carbon Code team for more information.</t>
  </si>
  <si>
    <t>**40m/hectare minus road length.</t>
  </si>
  <si>
    <t>**20m/hectare.</t>
  </si>
  <si>
    <t>**Enter area where squirrel control will be required.</t>
  </si>
  <si>
    <t>**Must add up to total net area.</t>
  </si>
  <si>
    <t>**Must add up to total net area. For areas planted at a wider spacing, please use the “actual” area planted rather than the “effective” area.</t>
  </si>
  <si>
    <t>**Acknowledging that all projects have ongoing management costs.</t>
  </si>
  <si>
    <t>**Acknowledging that all projects are either insured directly, or self-insure.</t>
  </si>
  <si>
    <t>**Acknowledging that all projects need some form of ongoing deer management.</t>
  </si>
  <si>
    <t>**Grants - enter grant value for the project as a whole. Provide grant contract(s) as proof. Please ensure you have confirmed with the relevant grant team(s) how much you are hoping to claim as early as possible.</t>
  </si>
  <si>
    <t>**Enter annual value(s) followed by the number of years it will be paid for.</t>
  </si>
  <si>
    <t>**Select "Yes" if you are planning on claiming BPS post-planting.</t>
  </si>
  <si>
    <t>**Where woodland creation area is Land Capability for Agriculture Class 1-3 or classed as Urban/Non-agricultural.</t>
  </si>
  <si>
    <t>**Copy and Special Paste (values only) from your carbon calculator to the green table below to calculate carbon income and costs. Does not affect financial additionality determination.</t>
  </si>
  <si>
    <t>**Where woodland creation area is not "Less Favoured Area" and is Land Capability for Agriculture Class 4+.</t>
  </si>
  <si>
    <t>**Where woodland creation area is classed as "Less Favoured Area" (Disadvantaged or Severely Disadvantaged) and Land Capability for Agriculture Class 4+.</t>
  </si>
  <si>
    <t>Version Control</t>
  </si>
  <si>
    <t>The Woodland Carbon Code is a voluntary standard. The Woodland Carbon Code standard, tools and documents, including the cashflow, are distributed ‘as is’ and without warranties as to performance or merchantability or any other warranties whether expressed or implied.</t>
  </si>
  <si>
    <t xml:space="preserve">No responsibility for loss occasioned to any person or organisation acting, or refraining from action, as a result of any material in the standard, tools and documents can be accepted by Scottish Forestry, the Forestry Commission, Welsh Government or Northern Ireland Forest Service. </t>
  </si>
  <si>
    <t>Use of the cashflow and validation of your project does not imply endorsement by Scottish Forestry of the value of any investment.</t>
  </si>
  <si>
    <t>"Grazing livestock (LFA)" in English dataset</t>
  </si>
  <si>
    <t>"LFA cattle and sheep" for FBI, "DA cattle and sheep" for BPS in NI dataset</t>
  </si>
  <si>
    <t>"Lowland cattle and sheep" in NI Dataset</t>
  </si>
  <si>
    <t>Midpoint of upper quartile and average figures from "LFA cattle and sheep" in Scottish dataset</t>
  </si>
  <si>
    <t>"Lowland cattle and sheep" in Scottish dataset</t>
  </si>
  <si>
    <t>Weighted average of "Cereal" and "General cropping" categories in Scottish dataset</t>
  </si>
  <si>
    <t>"Grazing livestock LFA" in Welsh dataset</t>
  </si>
  <si>
    <t>"Grazing livestock (Lowland)" in Welsh dataset</t>
  </si>
  <si>
    <t>Buffer contribution (tCO2e)</t>
  </si>
  <si>
    <t>**Ensure total area equals assumed gross area (Cell B11).</t>
  </si>
  <si>
    <t>9. How much of my grant support needs to be included in the grant income section of the data entry tab?</t>
  </si>
  <si>
    <t>10. Will the legal and/or financial additionality of my project ever need to be re-assessed?</t>
  </si>
  <si>
    <t xml:space="preserve">You can certainly plant commercial conifers and still be eligible under the Woodland Carbon Code. The best approach could be to complete the cashflow early on in the woodland design process, detailing the planned species composition and the likely costs and incomes. This will then allow you to see how much grant you could still access while remaining financially additional, and whether your woodland design might need to be adjusted. </t>
  </si>
  <si>
    <t>**If you do not receive a formal grant contract then please contact the Woodland Carbon Code team for information on how to complete your income section.</t>
  </si>
  <si>
    <t>If the information provided in your cashflow at validation is accurate and complete, there will be no need to re-assess the legal or financial additionality of your project later on.</t>
  </si>
  <si>
    <t>Please check the Woodland Carbon Code website to confirm which version of the cashflow should be used for your project.</t>
  </si>
  <si>
    <t>You shall include all grant support that you receive specifically because you are creating woodland. A good rule of thumb is to ask: “Would I receive this payment if I weren’t planting the woodland?” If the answer is no, then it shall be included in the grant income section.
This means that payments such as additional contributions through EWCO, or funding for gross planting areas above the 10% baseline used in the cashflow model, shall also be included.</t>
  </si>
  <si>
    <t>Less than or equal to 50ha assumes two strata</t>
  </si>
  <si>
    <t>More than 50ha assumes four strata</t>
  </si>
  <si>
    <t>Total Pending Issuance Units in vintage (tCO2e)</t>
  </si>
  <si>
    <t>Pending Issuance Units to project (tCO2e)</t>
  </si>
  <si>
    <t>**Area (ha) of site where drains have been constructed.</t>
  </si>
  <si>
    <t>This tab shows the results of the financial test and information about the relative share of different income sources which you will need to transfer to your project design document. These values are presented as "Net Present Values" (NPV), which means that future costs and incomes have been discounted back to the present day.</t>
  </si>
  <si>
    <t>Scrub control less than 7cm dbh</t>
  </si>
  <si>
    <t>Vintage start date</t>
  </si>
  <si>
    <t>Vintage end date</t>
  </si>
  <si>
    <t>Total check:</t>
  </si>
  <si>
    <t>Woodland Creation - constant (cash) figures</t>
  </si>
  <si>
    <t>Total costs including carbon</t>
  </si>
  <si>
    <t>Total costs excluding carbon</t>
  </si>
  <si>
    <t>Total income including carbon</t>
  </si>
  <si>
    <t>Total income excluding carbon</t>
  </si>
  <si>
    <t>Net cash flow including carbon</t>
  </si>
  <si>
    <t>Net cash flow excluding carbon</t>
  </si>
  <si>
    <t>Woodland creation - discounted figures</t>
  </si>
  <si>
    <t>Discount factor (3.5%)</t>
  </si>
  <si>
    <t>Discount rate</t>
  </si>
  <si>
    <t>Discounted costs including carbon</t>
  </si>
  <si>
    <t>Discounted costs excluding carbon</t>
  </si>
  <si>
    <t>Discounted grant income</t>
  </si>
  <si>
    <t>Discounted carbon income</t>
  </si>
  <si>
    <t>Discounted thinning income</t>
  </si>
  <si>
    <t>Discounted clearfell income</t>
  </si>
  <si>
    <t>Discounted residual timber income</t>
  </si>
  <si>
    <t>Discounted income including carbon</t>
  </si>
  <si>
    <t>Discounted income excluding carbon</t>
  </si>
  <si>
    <t>Net discounted flow including carbon</t>
  </si>
  <si>
    <t>Net discounted flow excluding carbon</t>
  </si>
  <si>
    <t>Income forgone</t>
  </si>
  <si>
    <t>Discounted cash flow alternative landuse</t>
  </si>
  <si>
    <t xml:space="preserve">The data in the cashflow will be updated annually, with updates planned for 1 July each year. </t>
  </si>
  <si>
    <t>Further information</t>
  </si>
  <si>
    <t>2024 price £/tCO2e</t>
  </si>
  <si>
    <t>Consistence with fence and track maintenance</t>
  </si>
  <si>
    <t>Woodland carbon code costs</t>
  </si>
  <si>
    <t>Woodland carbon code costs from 1/11/2024</t>
  </si>
  <si>
    <t>Y5 verification - survey</t>
  </si>
  <si>
    <t>Y15+ verification - survey</t>
  </si>
  <si>
    <t>Broadleaves - 1% of restock cost (assumed £3,500/ha)</t>
  </si>
  <si>
    <t>Sitka spruce</t>
  </si>
  <si>
    <t>Scots pine</t>
  </si>
  <si>
    <t>Norway spruce/other conifer</t>
  </si>
  <si>
    <t>Broadleaves, Scots pine minimum intervention or natural regeneration</t>
  </si>
  <si>
    <t>10-Yearly</t>
  </si>
  <si>
    <t>https://www.woodlandcarboncode.org.uk/template-documents-and-tools</t>
  </si>
  <si>
    <t>**Enter description of payment, the annual value(s) followed by the number of years it will be received.</t>
  </si>
  <si>
    <t>**Enter description of payment, the one-time value(s) followed by the year it will be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</si>
</sst>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 #,##0_-;\-* #,##0_-;_-* &quot;-&quot;??_-;_-@_-"/>
    <numFmt numFmtId="166" formatCode="0.0%"/>
    <numFmt numFmtId="167" formatCode="[$-809]dd\ mmmm\ yyyy;@"/>
    <numFmt numFmtId="168" formatCode="dd/mm/yy;@"/>
    <numFmt numFmtId="169" formatCode="[$-409]d\-mmm\-yy;@"/>
    <numFmt numFmtId="170" formatCode="[$-F800]dddd\,\ mmmm\ dd\,\ yyyy"/>
    <numFmt numFmtId="171" formatCode="&quot;£&quot;#,##0.00"/>
    <numFmt numFmtId="172" formatCode="&quot;$&quot;#,##0\ ;\(&quot;$&quot;#,##0\)"/>
    <numFmt numFmtId="173" formatCode="#,##0_ ;\-#,##0\ "/>
    <numFmt numFmtId="174" formatCode="0.0000"/>
  </numFmts>
  <fonts count="50" x14ac:knownFonts="1">
    <font>
      <sz val="10"/>
      <name val="Verdana"/>
    </font>
    <font>
      <sz val="10"/>
      <name val="Verdana"/>
      <family val="2"/>
    </font>
    <font>
      <sz val="8"/>
      <name val="Verdana"/>
      <family val="2"/>
    </font>
    <font>
      <b/>
      <sz val="10"/>
      <name val="Verdana"/>
      <family val="2"/>
    </font>
    <font>
      <b/>
      <u/>
      <sz val="10"/>
      <name val="Verdana"/>
      <family val="2"/>
    </font>
    <font>
      <i/>
      <sz val="10"/>
      <name val="Verdana"/>
      <family val="2"/>
    </font>
    <font>
      <u/>
      <sz val="10"/>
      <color indexed="12"/>
      <name val="Verdana"/>
      <family val="2"/>
    </font>
    <font>
      <sz val="10"/>
      <name val="Verdana"/>
      <family val="2"/>
    </font>
    <font>
      <b/>
      <i/>
      <sz val="10"/>
      <name val="Verdana"/>
      <family val="2"/>
    </font>
    <font>
      <b/>
      <sz val="12"/>
      <name val="Verdana"/>
      <family val="2"/>
    </font>
    <font>
      <sz val="12"/>
      <name val="Arial"/>
      <family val="2"/>
    </font>
    <font>
      <sz val="12"/>
      <name val="Verdana"/>
      <family val="2"/>
    </font>
    <font>
      <sz val="10"/>
      <name val="Arial"/>
      <family val="2"/>
    </font>
    <font>
      <sz val="10"/>
      <color indexed="24"/>
      <name val="Arial"/>
      <family val="2"/>
    </font>
    <font>
      <b/>
      <sz val="18"/>
      <color indexed="24"/>
      <name val="Arial"/>
      <family val="2"/>
    </font>
    <font>
      <b/>
      <sz val="12"/>
      <color indexed="24"/>
      <name val="Arial"/>
      <family val="2"/>
    </font>
    <font>
      <u/>
      <sz val="10"/>
      <color indexed="12"/>
      <name val="Arial"/>
      <family val="2"/>
    </font>
    <font>
      <sz val="10"/>
      <name val="Verdana"/>
      <family val="2"/>
    </font>
    <font>
      <sz val="12"/>
      <name val="Arial"/>
      <family val="2"/>
    </font>
    <font>
      <sz val="12"/>
      <name val="Times New Roman"/>
      <family val="1"/>
    </font>
    <font>
      <sz val="11"/>
      <color theme="1"/>
      <name val="Calibri"/>
      <family val="2"/>
      <scheme val="minor"/>
    </font>
    <font>
      <sz val="11"/>
      <color indexed="8"/>
      <name val="Calibri"/>
      <family val="2"/>
      <scheme val="minor"/>
    </font>
    <font>
      <b/>
      <sz val="11"/>
      <color theme="1"/>
      <name val="Calibri"/>
      <family val="2"/>
      <scheme val="minor"/>
    </font>
    <font>
      <b/>
      <sz val="14"/>
      <color rgb="FFFF0000"/>
      <name val="Verdana"/>
      <family val="2"/>
    </font>
    <font>
      <sz val="10"/>
      <color rgb="FFFFFF00"/>
      <name val="Verdana"/>
      <family val="2"/>
    </font>
    <font>
      <sz val="10"/>
      <name val="Verdana"/>
      <family val="2"/>
    </font>
    <font>
      <b/>
      <sz val="14"/>
      <name val="Arial"/>
      <family val="2"/>
    </font>
    <font>
      <b/>
      <sz val="12"/>
      <name val="Arial"/>
      <family val="2"/>
    </font>
    <font>
      <b/>
      <sz val="11"/>
      <color theme="1"/>
      <name val="Arial"/>
      <family val="2"/>
    </font>
    <font>
      <b/>
      <sz val="11"/>
      <name val="Arial"/>
      <family val="2"/>
    </font>
    <font>
      <sz val="10"/>
      <color rgb="FFFF0000"/>
      <name val="Arial"/>
      <family val="2"/>
    </font>
    <font>
      <b/>
      <sz val="16"/>
      <name val="Arial"/>
      <family val="2"/>
    </font>
    <font>
      <b/>
      <sz val="11"/>
      <color indexed="8"/>
      <name val="Arial"/>
      <family val="2"/>
    </font>
    <font>
      <u/>
      <sz val="12"/>
      <color indexed="12"/>
      <name val="Arial"/>
      <family val="2"/>
    </font>
    <font>
      <i/>
      <sz val="12"/>
      <name val="Arial"/>
      <family val="2"/>
    </font>
    <font>
      <b/>
      <i/>
      <sz val="12"/>
      <name val="Arial"/>
      <family val="2"/>
    </font>
    <font>
      <sz val="11"/>
      <name val="Arial"/>
      <family val="2"/>
    </font>
    <font>
      <sz val="11"/>
      <color theme="0"/>
      <name val="Arial"/>
      <family val="2"/>
    </font>
    <font>
      <b/>
      <sz val="11"/>
      <color theme="0"/>
      <name val="Arial"/>
      <family val="2"/>
    </font>
    <font>
      <u/>
      <sz val="11"/>
      <color indexed="12"/>
      <name val="Arial"/>
      <family val="2"/>
    </font>
    <font>
      <i/>
      <sz val="11"/>
      <name val="Arial"/>
      <family val="2"/>
    </font>
    <font>
      <b/>
      <i/>
      <sz val="11"/>
      <name val="Arial"/>
      <family val="2"/>
    </font>
    <font>
      <sz val="11"/>
      <color theme="1"/>
      <name val="Arial"/>
      <family val="2"/>
    </font>
    <font>
      <b/>
      <u/>
      <sz val="12"/>
      <name val="Arial"/>
      <family val="2"/>
    </font>
    <font>
      <b/>
      <i/>
      <u/>
      <sz val="12"/>
      <name val="Arial"/>
      <family val="2"/>
    </font>
    <font>
      <i/>
      <u/>
      <sz val="12"/>
      <name val="Arial"/>
      <family val="2"/>
    </font>
    <font>
      <u/>
      <sz val="12"/>
      <name val="Arial"/>
      <family val="2"/>
    </font>
    <font>
      <b/>
      <sz val="10"/>
      <name val="Arial"/>
      <family val="2"/>
    </font>
    <font>
      <sz val="10"/>
      <color theme="1"/>
      <name val="Arial"/>
      <family val="2"/>
    </font>
    <font>
      <sz val="10"/>
      <color theme="0"/>
      <name val="Arial"/>
      <family val="2"/>
    </font>
  </fonts>
  <fills count="27">
    <fill>
      <patternFill patternType="none"/>
    </fill>
    <fill>
      <patternFill patternType="gray125"/>
    </fill>
    <fill>
      <patternFill patternType="solid">
        <fgColor indexed="2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6" tint="0.39994506668294322"/>
        <bgColor indexed="64"/>
      </patternFill>
    </fill>
    <fill>
      <patternFill patternType="solid">
        <fgColor rgb="FF0070C0"/>
        <bgColor indexed="64"/>
      </patternFill>
    </fill>
    <fill>
      <patternFill patternType="solid">
        <fgColor theme="6" tint="-0.2499465926084170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0.2499465926084170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2499465926084170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theme="9"/>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rgb="FFFFFF99"/>
        <bgColor indexed="64"/>
      </patternFill>
    </fill>
  </fills>
  <borders count="100">
    <border>
      <left/>
      <right/>
      <top/>
      <bottom/>
      <diagonal/>
    </border>
    <border>
      <left style="thin">
        <color indexed="64"/>
      </left>
      <right style="thin">
        <color indexed="64"/>
      </right>
      <top/>
      <bottom/>
      <diagonal/>
    </border>
    <border>
      <left/>
      <right/>
      <top style="double">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style="thick">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bottom style="dashDot">
        <color indexed="64"/>
      </bottom>
      <diagonal/>
    </border>
    <border>
      <left style="medium">
        <color indexed="64"/>
      </left>
      <right/>
      <top style="thin">
        <color indexed="64"/>
      </top>
      <bottom style="double">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s>
  <cellStyleXfs count="28">
    <xf numFmtId="0" fontId="0" fillId="0" borderId="0"/>
    <xf numFmtId="43" fontId="10" fillId="0" borderId="0" applyFont="0" applyFill="0" applyBorder="0" applyAlignment="0" applyProtection="0"/>
    <xf numFmtId="9" fontId="10"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3" fontId="13" fillId="0" borderId="0" applyFont="0" applyFill="0" applyBorder="0" applyAlignment="0" applyProtection="0"/>
    <xf numFmtId="172"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3" fontId="13" fillId="0" borderId="1">
      <alignment horizontal="right"/>
    </xf>
    <xf numFmtId="0" fontId="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2" fillId="0" borderId="0"/>
    <xf numFmtId="0" fontId="12" fillId="0" borderId="0"/>
    <xf numFmtId="0" fontId="19" fillId="0" borderId="0"/>
    <xf numFmtId="0" fontId="21" fillId="0" borderId="0"/>
    <xf numFmtId="0" fontId="17" fillId="0" borderId="0"/>
    <xf numFmtId="0" fontId="10" fillId="0" borderId="0"/>
    <xf numFmtId="0" fontId="18" fillId="0" borderId="0"/>
    <xf numFmtId="0" fontId="20" fillId="0" borderId="0"/>
    <xf numFmtId="9" fontId="12"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0" fontId="13" fillId="0" borderId="2" applyNumberFormat="0" applyFont="0" applyFill="0" applyAlignment="0" applyProtection="0"/>
    <xf numFmtId="44" fontId="25" fillId="0" borderId="0" applyFont="0" applyFill="0" applyBorder="0" applyAlignment="0" applyProtection="0"/>
  </cellStyleXfs>
  <cellXfs count="902">
    <xf numFmtId="0" fontId="0" fillId="0" borderId="0" xfId="0"/>
    <xf numFmtId="0" fontId="0" fillId="0" borderId="0" xfId="0" applyAlignment="1">
      <alignment wrapText="1"/>
    </xf>
    <xf numFmtId="0" fontId="0" fillId="0" borderId="0" xfId="0" applyAlignment="1">
      <alignment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0" borderId="0" xfId="0" applyFont="1"/>
    <xf numFmtId="0" fontId="7" fillId="0" borderId="0" xfId="0" applyFont="1"/>
    <xf numFmtId="9" fontId="0" fillId="0" borderId="0" xfId="0" applyNumberFormat="1"/>
    <xf numFmtId="0" fontId="4" fillId="4" borderId="0" xfId="0" applyFont="1" applyFill="1"/>
    <xf numFmtId="49" fontId="0" fillId="0" borderId="0" xfId="0" applyNumberFormat="1"/>
    <xf numFmtId="0" fontId="0" fillId="0" borderId="23" xfId="0" applyBorder="1"/>
    <xf numFmtId="0" fontId="3" fillId="0" borderId="23" xfId="0" applyFont="1" applyBorder="1" applyAlignment="1">
      <alignment wrapText="1"/>
    </xf>
    <xf numFmtId="0" fontId="0" fillId="0" borderId="34" xfId="0" applyBorder="1"/>
    <xf numFmtId="0" fontId="0" fillId="0" borderId="40" xfId="0" applyBorder="1"/>
    <xf numFmtId="41" fontId="0" fillId="0" borderId="0" xfId="0" applyNumberFormat="1"/>
    <xf numFmtId="0" fontId="17" fillId="0" borderId="38" xfId="19" applyBorder="1"/>
    <xf numFmtId="0" fontId="17" fillId="0" borderId="0" xfId="19"/>
    <xf numFmtId="0" fontId="0" fillId="0" borderId="44" xfId="0" applyBorder="1"/>
    <xf numFmtId="0" fontId="3" fillId="4" borderId="21" xfId="0" applyFont="1" applyFill="1" applyBorder="1"/>
    <xf numFmtId="0" fontId="3" fillId="4" borderId="34" xfId="0" applyFont="1" applyFill="1" applyBorder="1"/>
    <xf numFmtId="0" fontId="0" fillId="0" borderId="46" xfId="0" applyBorder="1" applyAlignment="1">
      <alignment wrapText="1"/>
    </xf>
    <xf numFmtId="0" fontId="0" fillId="0" borderId="49" xfId="0" applyBorder="1"/>
    <xf numFmtId="0" fontId="0" fillId="0" borderId="50" xfId="0" applyBorder="1"/>
    <xf numFmtId="0" fontId="3" fillId="5" borderId="0" xfId="0" applyFont="1" applyFill="1" applyAlignment="1">
      <alignment horizontal="right" vertical="center"/>
    </xf>
    <xf numFmtId="0" fontId="3" fillId="5" borderId="39" xfId="0" applyFont="1" applyFill="1" applyBorder="1" applyAlignment="1">
      <alignment horizontal="right" vertical="center"/>
    </xf>
    <xf numFmtId="0" fontId="3" fillId="4" borderId="40" xfId="0" applyFont="1" applyFill="1" applyBorder="1"/>
    <xf numFmtId="0" fontId="7" fillId="4" borderId="46" xfId="0" applyFont="1" applyFill="1" applyBorder="1"/>
    <xf numFmtId="0" fontId="7" fillId="4" borderId="34" xfId="0" applyFont="1" applyFill="1" applyBorder="1"/>
    <xf numFmtId="0" fontId="7" fillId="4" borderId="0" xfId="0" applyFont="1" applyFill="1"/>
    <xf numFmtId="0" fontId="7" fillId="4" borderId="39" xfId="0" applyFont="1" applyFill="1" applyBorder="1"/>
    <xf numFmtId="42" fontId="7" fillId="0" borderId="0" xfId="0" applyNumberFormat="1" applyFont="1" applyAlignment="1">
      <alignment horizontal="right" vertical="center"/>
    </xf>
    <xf numFmtId="42" fontId="7" fillId="0" borderId="39" xfId="0" applyNumberFormat="1" applyFont="1" applyBorder="1" applyAlignment="1">
      <alignment horizontal="right" vertical="center"/>
    </xf>
    <xf numFmtId="42" fontId="7" fillId="0" borderId="44" xfId="0" applyNumberFormat="1" applyFont="1" applyBorder="1" applyAlignment="1">
      <alignment horizontal="right" vertical="center"/>
    </xf>
    <xf numFmtId="42" fontId="7" fillId="0" borderId="50" xfId="0" applyNumberFormat="1" applyFont="1" applyBorder="1" applyAlignment="1">
      <alignment horizontal="right" vertical="center"/>
    </xf>
    <xf numFmtId="0" fontId="4" fillId="4" borderId="0" xfId="0" applyFont="1" applyFill="1" applyAlignment="1">
      <alignment vertical="center"/>
    </xf>
    <xf numFmtId="42" fontId="3" fillId="4" borderId="0" xfId="0" applyNumberFormat="1" applyFont="1" applyFill="1" applyAlignment="1">
      <alignment vertical="center"/>
    </xf>
    <xf numFmtId="42" fontId="7" fillId="14" borderId="0" xfId="0" applyNumberFormat="1" applyFont="1" applyFill="1" applyAlignment="1">
      <alignment vertical="center"/>
    </xf>
    <xf numFmtId="42" fontId="7" fillId="0" borderId="0" xfId="0" applyNumberFormat="1" applyFont="1" applyAlignment="1">
      <alignment vertical="center"/>
    </xf>
    <xf numFmtId="42" fontId="4" fillId="0" borderId="0" xfId="0" applyNumberFormat="1" applyFont="1" applyAlignment="1">
      <alignment vertical="center"/>
    </xf>
    <xf numFmtId="42" fontId="4" fillId="4" borderId="0" xfId="0" applyNumberFormat="1" applyFont="1" applyFill="1" applyAlignment="1">
      <alignment vertical="center"/>
    </xf>
    <xf numFmtId="42" fontId="7" fillId="0" borderId="44" xfId="0" applyNumberFormat="1" applyFont="1" applyBorder="1" applyAlignment="1">
      <alignment vertical="center"/>
    </xf>
    <xf numFmtId="0" fontId="3" fillId="4" borderId="0" xfId="19" applyFont="1" applyFill="1"/>
    <xf numFmtId="0" fontId="22" fillId="4" borderId="0" xfId="19" applyFont="1" applyFill="1"/>
    <xf numFmtId="0" fontId="7" fillId="4" borderId="38" xfId="19" applyFont="1" applyFill="1" applyBorder="1"/>
    <xf numFmtId="0" fontId="7" fillId="4" borderId="0" xfId="19" applyFont="1" applyFill="1"/>
    <xf numFmtId="0" fontId="11" fillId="0" borderId="0" xfId="0" applyFont="1"/>
    <xf numFmtId="0" fontId="11" fillId="0" borderId="0" xfId="0" applyFont="1" applyAlignment="1">
      <alignment vertical="center"/>
    </xf>
    <xf numFmtId="0" fontId="3" fillId="4" borderId="45" xfId="19" applyFont="1" applyFill="1" applyBorder="1"/>
    <xf numFmtId="0" fontId="3" fillId="4" borderId="59" xfId="19" applyFont="1" applyFill="1" applyBorder="1"/>
    <xf numFmtId="0" fontId="3" fillId="4" borderId="46" xfId="0" applyFont="1" applyFill="1" applyBorder="1"/>
    <xf numFmtId="0" fontId="3" fillId="4" borderId="49" xfId="0" applyFont="1" applyFill="1" applyBorder="1"/>
    <xf numFmtId="0" fontId="3" fillId="4" borderId="44" xfId="0" applyFont="1" applyFill="1" applyBorder="1"/>
    <xf numFmtId="0" fontId="3" fillId="4" borderId="50" xfId="0" applyFont="1" applyFill="1" applyBorder="1"/>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0" fontId="3" fillId="5" borderId="0" xfId="0" applyFont="1" applyFill="1" applyAlignment="1">
      <alignment horizontal="right"/>
    </xf>
    <xf numFmtId="9" fontId="3" fillId="5" borderId="0" xfId="0" applyNumberFormat="1" applyFont="1" applyFill="1" applyAlignment="1">
      <alignment horizontal="right"/>
    </xf>
    <xf numFmtId="42" fontId="0" fillId="0" borderId="0" xfId="0" applyNumberFormat="1"/>
    <xf numFmtId="0" fontId="7" fillId="0" borderId="44" xfId="0" applyFont="1" applyBorder="1" applyAlignment="1">
      <alignment vertical="center"/>
    </xf>
    <xf numFmtId="0" fontId="7" fillId="0" borderId="0" xfId="0" applyFont="1" applyAlignment="1">
      <alignment wrapText="1"/>
    </xf>
    <xf numFmtId="0" fontId="3" fillId="4" borderId="38" xfId="0" applyFont="1" applyFill="1" applyBorder="1" applyAlignment="1">
      <alignment wrapText="1"/>
    </xf>
    <xf numFmtId="0" fontId="3" fillId="5" borderId="38" xfId="0" applyFont="1" applyFill="1" applyBorder="1" applyAlignment="1">
      <alignment wrapText="1"/>
    </xf>
    <xf numFmtId="0" fontId="3" fillId="5" borderId="49" xfId="0" applyFont="1" applyFill="1" applyBorder="1" applyAlignment="1">
      <alignment wrapText="1"/>
    </xf>
    <xf numFmtId="0" fontId="7" fillId="4" borderId="0" xfId="0" applyFont="1" applyFill="1" applyAlignment="1">
      <alignment vertical="center"/>
    </xf>
    <xf numFmtId="42" fontId="7" fillId="0" borderId="38" xfId="0" applyNumberFormat="1" applyFont="1" applyBorder="1" applyAlignment="1">
      <alignment vertical="center"/>
    </xf>
    <xf numFmtId="0" fontId="7" fillId="4" borderId="38" xfId="0" applyFont="1" applyFill="1" applyBorder="1" applyAlignment="1">
      <alignment vertical="center" wrapText="1"/>
    </xf>
    <xf numFmtId="0" fontId="3" fillId="4" borderId="0" xfId="0" applyFont="1" applyFill="1" applyAlignment="1">
      <alignment vertical="center"/>
    </xf>
    <xf numFmtId="42" fontId="3" fillId="4" borderId="0" xfId="0" applyNumberFormat="1" applyFont="1" applyFill="1" applyAlignment="1">
      <alignment horizontal="right" vertical="center"/>
    </xf>
    <xf numFmtId="0" fontId="3" fillId="0" borderId="38" xfId="0" applyFont="1" applyBorder="1" applyAlignment="1">
      <alignment vertical="center" wrapText="1"/>
    </xf>
    <xf numFmtId="0" fontId="7" fillId="0" borderId="0" xfId="0" applyFont="1" applyAlignment="1">
      <alignment vertical="center"/>
    </xf>
    <xf numFmtId="0" fontId="7" fillId="0" borderId="38" xfId="0" applyFont="1" applyBorder="1" applyAlignment="1">
      <alignment vertical="center" wrapText="1"/>
    </xf>
    <xf numFmtId="0" fontId="3" fillId="4" borderId="38" xfId="0" applyFont="1" applyFill="1" applyBorder="1" applyAlignment="1">
      <alignment vertical="center" wrapText="1"/>
    </xf>
    <xf numFmtId="42" fontId="7" fillId="4" borderId="0" xfId="0" applyNumberFormat="1" applyFont="1" applyFill="1" applyAlignment="1">
      <alignment vertical="center"/>
    </xf>
    <xf numFmtId="0" fontId="3" fillId="0" borderId="49" xfId="0" applyFont="1" applyBorder="1" applyAlignment="1">
      <alignment vertical="center" wrapText="1"/>
    </xf>
    <xf numFmtId="42" fontId="3" fillId="4" borderId="0" xfId="0" applyNumberFormat="1" applyFont="1" applyFill="1" applyAlignment="1">
      <alignment vertical="center" wrapText="1"/>
    </xf>
    <xf numFmtId="42" fontId="3" fillId="4" borderId="0" xfId="0" applyNumberFormat="1" applyFont="1" applyFill="1" applyAlignment="1">
      <alignment horizontal="right" vertical="center" wrapText="1"/>
    </xf>
    <xf numFmtId="0" fontId="7" fillId="4" borderId="40" xfId="0" applyFont="1" applyFill="1" applyBorder="1"/>
    <xf numFmtId="0" fontId="4" fillId="4" borderId="38" xfId="0" applyFont="1" applyFill="1" applyBorder="1"/>
    <xf numFmtId="42" fontId="3" fillId="4" borderId="38" xfId="0" applyNumberFormat="1" applyFont="1" applyFill="1" applyBorder="1" applyAlignment="1">
      <alignment horizontal="right" vertical="center" wrapText="1"/>
    </xf>
    <xf numFmtId="42" fontId="7" fillId="14" borderId="38" xfId="0" applyNumberFormat="1" applyFont="1" applyFill="1" applyBorder="1" applyAlignment="1">
      <alignment vertical="center"/>
    </xf>
    <xf numFmtId="42" fontId="4" fillId="4" borderId="38" xfId="0" applyNumberFormat="1" applyFont="1" applyFill="1" applyBorder="1" applyAlignment="1">
      <alignment vertical="center"/>
    </xf>
    <xf numFmtId="42" fontId="3" fillId="4" borderId="38" xfId="0" applyNumberFormat="1" applyFont="1" applyFill="1" applyBorder="1" applyAlignment="1">
      <alignment horizontal="right" vertical="center"/>
    </xf>
    <xf numFmtId="42" fontId="7" fillId="0" borderId="49" xfId="0" applyNumberFormat="1" applyFont="1" applyBorder="1" applyAlignment="1">
      <alignment vertical="center"/>
    </xf>
    <xf numFmtId="42" fontId="3" fillId="4" borderId="39" xfId="0" applyNumberFormat="1" applyFont="1" applyFill="1" applyBorder="1" applyAlignment="1">
      <alignment horizontal="right" vertical="center"/>
    </xf>
    <xf numFmtId="42" fontId="7" fillId="0" borderId="39" xfId="0" applyNumberFormat="1" applyFont="1" applyBorder="1" applyAlignment="1">
      <alignment vertical="center"/>
    </xf>
    <xf numFmtId="44" fontId="7" fillId="0" borderId="39" xfId="0" applyNumberFormat="1" applyFont="1" applyBorder="1" applyAlignment="1">
      <alignment vertical="center"/>
    </xf>
    <xf numFmtId="44" fontId="7" fillId="14" borderId="39" xfId="0" applyNumberFormat="1" applyFont="1" applyFill="1" applyBorder="1" applyAlignment="1">
      <alignment vertical="center"/>
    </xf>
    <xf numFmtId="42" fontId="7" fillId="4" borderId="39" xfId="0" applyNumberFormat="1" applyFont="1" applyFill="1" applyBorder="1" applyAlignment="1">
      <alignment vertical="center"/>
    </xf>
    <xf numFmtId="44" fontId="7" fillId="0" borderId="50" xfId="0" applyNumberFormat="1" applyFont="1" applyBorder="1" applyAlignment="1">
      <alignment vertical="center"/>
    </xf>
    <xf numFmtId="0" fontId="7" fillId="0" borderId="0" xfId="19" applyFont="1"/>
    <xf numFmtId="42" fontId="3" fillId="4" borderId="23" xfId="0" applyNumberFormat="1" applyFont="1" applyFill="1" applyBorder="1" applyAlignment="1">
      <alignment vertical="center" wrapText="1"/>
    </xf>
    <xf numFmtId="0" fontId="5" fillId="0" borderId="0" xfId="0" applyFont="1"/>
    <xf numFmtId="0" fontId="0" fillId="0" borderId="0" xfId="0" applyAlignment="1">
      <alignment horizontal="center" vertical="center" wrapText="1"/>
    </xf>
    <xf numFmtId="0" fontId="0" fillId="0" borderId="0" xfId="0" applyAlignment="1">
      <alignment vertical="center" wrapText="1"/>
    </xf>
    <xf numFmtId="44" fontId="0" fillId="0" borderId="23" xfId="0" applyNumberFormat="1" applyBorder="1" applyAlignment="1">
      <alignment vertical="center"/>
    </xf>
    <xf numFmtId="44" fontId="0" fillId="0" borderId="0" xfId="0" applyNumberFormat="1" applyAlignment="1">
      <alignment vertical="center"/>
    </xf>
    <xf numFmtId="0" fontId="3" fillId="4" borderId="23" xfId="0" applyFont="1" applyFill="1" applyBorder="1" applyAlignment="1">
      <alignment vertical="center"/>
    </xf>
    <xf numFmtId="0" fontId="3" fillId="4" borderId="23" xfId="0" applyFont="1" applyFill="1" applyBorder="1" applyAlignment="1">
      <alignment vertical="center" wrapText="1"/>
    </xf>
    <xf numFmtId="44" fontId="3" fillId="4" borderId="23" xfId="0" applyNumberFormat="1" applyFont="1" applyFill="1" applyBorder="1" applyAlignment="1">
      <alignment vertical="center"/>
    </xf>
    <xf numFmtId="0" fontId="7" fillId="0" borderId="1" xfId="0" applyFont="1" applyBorder="1" applyAlignment="1">
      <alignment vertical="center"/>
    </xf>
    <xf numFmtId="0" fontId="0" fillId="0" borderId="1" xfId="0" applyBorder="1" applyAlignment="1">
      <alignment vertical="center"/>
    </xf>
    <xf numFmtId="42" fontId="0" fillId="0" borderId="0" xfId="0" applyNumberFormat="1" applyAlignment="1">
      <alignment vertical="center"/>
    </xf>
    <xf numFmtId="0" fontId="6" fillId="0" borderId="0" xfId="13" applyAlignment="1" applyProtection="1">
      <alignment vertical="center"/>
    </xf>
    <xf numFmtId="0" fontId="3" fillId="21" borderId="45" xfId="0" applyFont="1" applyFill="1" applyBorder="1" applyAlignment="1">
      <alignment vertical="center"/>
    </xf>
    <xf numFmtId="0" fontId="3" fillId="21" borderId="33" xfId="0" applyFont="1" applyFill="1" applyBorder="1" applyAlignment="1">
      <alignment vertical="center"/>
    </xf>
    <xf numFmtId="0" fontId="0" fillId="21" borderId="59" xfId="0" applyFill="1" applyBorder="1" applyAlignment="1">
      <alignment vertical="center"/>
    </xf>
    <xf numFmtId="0" fontId="0" fillId="21" borderId="33" xfId="0" applyFill="1" applyBorder="1" applyAlignment="1">
      <alignment vertical="center"/>
    </xf>
    <xf numFmtId="0" fontId="3" fillId="21" borderId="59" xfId="0" applyFont="1" applyFill="1" applyBorder="1" applyAlignment="1">
      <alignment vertical="center"/>
    </xf>
    <xf numFmtId="0" fontId="3" fillId="0" borderId="0" xfId="0" applyFont="1" applyAlignment="1">
      <alignment horizontal="left" vertical="center"/>
    </xf>
    <xf numFmtId="0" fontId="0" fillId="0" borderId="72" xfId="0" applyBorder="1" applyAlignment="1">
      <alignment vertical="center"/>
    </xf>
    <xf numFmtId="44" fontId="0" fillId="0" borderId="23" xfId="0" applyNumberFormat="1" applyBorder="1" applyAlignment="1">
      <alignment horizontal="right" vertical="center"/>
    </xf>
    <xf numFmtId="44" fontId="0" fillId="0" borderId="33" xfId="0" applyNumberFormat="1" applyBorder="1" applyAlignment="1">
      <alignment vertical="center"/>
    </xf>
    <xf numFmtId="44" fontId="7" fillId="0" borderId="45" xfId="0" applyNumberFormat="1" applyFont="1" applyBorder="1" applyAlignment="1">
      <alignment horizontal="right" vertical="center"/>
    </xf>
    <xf numFmtId="44" fontId="7" fillId="0" borderId="73" xfId="0" applyNumberFormat="1" applyFont="1" applyBorder="1" applyAlignment="1">
      <alignment horizontal="right" vertical="center"/>
    </xf>
    <xf numFmtId="171" fontId="7" fillId="0" borderId="74" xfId="0" applyNumberFormat="1" applyFont="1" applyBorder="1" applyAlignment="1">
      <alignment horizontal="right" vertical="center"/>
    </xf>
    <xf numFmtId="44" fontId="0" fillId="0" borderId="75" xfId="0" applyNumberFormat="1" applyBorder="1" applyAlignment="1">
      <alignment vertical="center"/>
    </xf>
    <xf numFmtId="44" fontId="0" fillId="0" borderId="45" xfId="0" applyNumberFormat="1" applyBorder="1" applyAlignment="1">
      <alignment horizontal="right" vertical="center"/>
    </xf>
    <xf numFmtId="0" fontId="3" fillId="5" borderId="79" xfId="0" applyFont="1" applyFill="1" applyBorder="1" applyAlignment="1">
      <alignment vertical="center"/>
    </xf>
    <xf numFmtId="44" fontId="3" fillId="5" borderId="71" xfId="0" applyNumberFormat="1" applyFont="1" applyFill="1" applyBorder="1" applyAlignment="1">
      <alignment horizontal="right" vertical="center"/>
    </xf>
    <xf numFmtId="44" fontId="3" fillId="5" borderId="80" xfId="0" applyNumberFormat="1" applyFont="1" applyFill="1" applyBorder="1" applyAlignment="1">
      <alignment horizontal="right" vertical="center"/>
    </xf>
    <xf numFmtId="171" fontId="3" fillId="5" borderId="81" xfId="0" applyNumberFormat="1" applyFont="1" applyFill="1" applyBorder="1" applyAlignment="1">
      <alignment horizontal="right" vertical="center"/>
    </xf>
    <xf numFmtId="0" fontId="3" fillId="5" borderId="82" xfId="0" applyFont="1" applyFill="1" applyBorder="1" applyAlignment="1">
      <alignment vertical="center"/>
    </xf>
    <xf numFmtId="44" fontId="3" fillId="5" borderId="68" xfId="0" applyNumberFormat="1" applyFont="1" applyFill="1" applyBorder="1" applyAlignment="1">
      <alignment vertical="center"/>
    </xf>
    <xf numFmtId="44" fontId="3" fillId="5" borderId="83" xfId="0" applyNumberFormat="1" applyFont="1" applyFill="1" applyBorder="1" applyAlignment="1">
      <alignment vertical="center"/>
    </xf>
    <xf numFmtId="171" fontId="0" fillId="0" borderId="0" xfId="0" applyNumberFormat="1" applyAlignment="1">
      <alignment vertical="center"/>
    </xf>
    <xf numFmtId="0" fontId="0" fillId="0" borderId="84" xfId="0" applyBorder="1" applyAlignment="1">
      <alignment vertical="center"/>
    </xf>
    <xf numFmtId="44" fontId="7" fillId="0" borderId="84" xfId="0" applyNumberFormat="1" applyFont="1" applyBorder="1" applyAlignment="1">
      <alignment horizontal="right" vertical="center"/>
    </xf>
    <xf numFmtId="171" fontId="7" fillId="0" borderId="85" xfId="0" applyNumberFormat="1" applyFont="1" applyBorder="1" applyAlignment="1">
      <alignment horizontal="right" vertical="center"/>
    </xf>
    <xf numFmtId="0" fontId="3" fillId="0" borderId="0" xfId="0" applyFont="1" applyAlignment="1">
      <alignment vertical="center"/>
    </xf>
    <xf numFmtId="0" fontId="3" fillId="5" borderId="84" xfId="0" applyFont="1" applyFill="1" applyBorder="1" applyAlignment="1">
      <alignment vertical="center"/>
    </xf>
    <xf numFmtId="44" fontId="3" fillId="5" borderId="23" xfId="0" applyNumberFormat="1" applyFont="1" applyFill="1" applyBorder="1" applyAlignment="1">
      <alignment horizontal="right" vertical="center"/>
    </xf>
    <xf numFmtId="44" fontId="3" fillId="5" borderId="85" xfId="0" applyNumberFormat="1" applyFont="1" applyFill="1" applyBorder="1" applyAlignment="1">
      <alignment horizontal="right" vertical="center"/>
    </xf>
    <xf numFmtId="44" fontId="3" fillId="5" borderId="84" xfId="0" applyNumberFormat="1" applyFont="1" applyFill="1" applyBorder="1" applyAlignment="1">
      <alignment horizontal="right" vertical="center"/>
    </xf>
    <xf numFmtId="171" fontId="3" fillId="5" borderId="85" xfId="0" applyNumberFormat="1" applyFont="1" applyFill="1" applyBorder="1" applyAlignment="1">
      <alignment horizontal="right" vertical="center"/>
    </xf>
    <xf numFmtId="0" fontId="3" fillId="5" borderId="72" xfId="0" applyFont="1" applyFill="1" applyBorder="1" applyAlignment="1">
      <alignment vertical="center"/>
    </xf>
    <xf numFmtId="44" fontId="3" fillId="5" borderId="23" xfId="0" applyNumberFormat="1" applyFont="1" applyFill="1" applyBorder="1" applyAlignment="1">
      <alignment vertical="center"/>
    </xf>
    <xf numFmtId="44" fontId="3" fillId="5" borderId="75" xfId="0" applyNumberFormat="1" applyFont="1" applyFill="1" applyBorder="1" applyAlignment="1">
      <alignment vertical="center"/>
    </xf>
    <xf numFmtId="0" fontId="7" fillId="0" borderId="10" xfId="0" applyFont="1" applyBorder="1" applyAlignment="1">
      <alignment vertical="center"/>
    </xf>
    <xf numFmtId="0" fontId="3" fillId="5" borderId="20" xfId="0" applyFont="1" applyFill="1" applyBorder="1" applyAlignment="1">
      <alignment vertical="center"/>
    </xf>
    <xf numFmtId="44" fontId="3" fillId="5" borderId="0" xfId="0" applyNumberFormat="1" applyFont="1" applyFill="1" applyAlignment="1">
      <alignment horizontal="right" vertical="center"/>
    </xf>
    <xf numFmtId="44" fontId="3" fillId="5" borderId="77" xfId="0" applyNumberFormat="1" applyFont="1" applyFill="1" applyBorder="1" applyAlignment="1">
      <alignment horizontal="right" vertical="center"/>
    </xf>
    <xf numFmtId="44" fontId="3" fillId="5" borderId="85" xfId="0" applyNumberFormat="1" applyFont="1" applyFill="1" applyBorder="1" applyAlignment="1">
      <alignment vertical="center"/>
    </xf>
    <xf numFmtId="0" fontId="3" fillId="5" borderId="37" xfId="0" applyFont="1" applyFill="1" applyBorder="1" applyAlignment="1">
      <alignment vertical="center"/>
    </xf>
    <xf numFmtId="44" fontId="3" fillId="5" borderId="4" xfId="0" applyNumberFormat="1" applyFont="1" applyFill="1" applyBorder="1" applyAlignment="1">
      <alignment horizontal="right" vertical="center"/>
    </xf>
    <xf numFmtId="44" fontId="3" fillId="5" borderId="78" xfId="0" applyNumberFormat="1" applyFont="1" applyFill="1" applyBorder="1" applyAlignment="1">
      <alignment horizontal="right" vertical="center"/>
    </xf>
    <xf numFmtId="44" fontId="3" fillId="5" borderId="86" xfId="0" applyNumberFormat="1" applyFont="1" applyFill="1" applyBorder="1" applyAlignment="1">
      <alignment horizontal="right" vertical="center"/>
    </xf>
    <xf numFmtId="171" fontId="3" fillId="5" borderId="87" xfId="0" applyNumberFormat="1" applyFont="1" applyFill="1" applyBorder="1" applyAlignment="1">
      <alignment horizontal="right" vertical="center"/>
    </xf>
    <xf numFmtId="0" fontId="3" fillId="5" borderId="86" xfId="0" applyFont="1" applyFill="1" applyBorder="1" applyAlignment="1">
      <alignment vertical="center"/>
    </xf>
    <xf numFmtId="44" fontId="3" fillId="5" borderId="36" xfId="0" applyNumberFormat="1" applyFont="1" applyFill="1" applyBorder="1" applyAlignment="1">
      <alignment horizontal="right" vertical="center"/>
    </xf>
    <xf numFmtId="44" fontId="3" fillId="5" borderId="87" xfId="0" applyNumberFormat="1" applyFont="1" applyFill="1" applyBorder="1" applyAlignment="1">
      <alignment vertical="center"/>
    </xf>
    <xf numFmtId="0" fontId="7" fillId="17" borderId="10" xfId="0" applyFont="1" applyFill="1" applyBorder="1" applyAlignment="1">
      <alignment vertical="center"/>
    </xf>
    <xf numFmtId="171" fontId="3" fillId="5" borderId="77" xfId="0" applyNumberFormat="1" applyFont="1" applyFill="1" applyBorder="1" applyAlignment="1">
      <alignment horizontal="right" vertical="center"/>
    </xf>
    <xf numFmtId="171" fontId="3" fillId="5" borderId="78" xfId="0" applyNumberFormat="1" applyFont="1" applyFill="1" applyBorder="1" applyAlignment="1">
      <alignment horizontal="right" vertical="center"/>
    </xf>
    <xf numFmtId="42" fontId="23" fillId="0" borderId="0" xfId="0" applyNumberFormat="1" applyFont="1"/>
    <xf numFmtId="41" fontId="0" fillId="0" borderId="0" xfId="0" applyNumberFormat="1" applyAlignment="1">
      <alignment vertical="center"/>
    </xf>
    <xf numFmtId="0" fontId="7" fillId="0" borderId="0" xfId="0" applyFont="1" applyAlignment="1">
      <alignment vertical="center" wrapText="1"/>
    </xf>
    <xf numFmtId="0" fontId="7" fillId="3" borderId="0" xfId="0" applyFont="1" applyFill="1" applyAlignment="1">
      <alignment vertical="center"/>
    </xf>
    <xf numFmtId="0" fontId="0" fillId="3" borderId="0" xfId="0" applyFill="1" applyAlignment="1">
      <alignment vertical="center"/>
    </xf>
    <xf numFmtId="42" fontId="0" fillId="3" borderId="0" xfId="0" applyNumberFormat="1" applyFill="1" applyAlignment="1">
      <alignment vertical="center"/>
    </xf>
    <xf numFmtId="42" fontId="3" fillId="5" borderId="0" xfId="0" applyNumberFormat="1" applyFont="1" applyFill="1" applyAlignment="1">
      <alignment horizontal="right" vertical="center"/>
    </xf>
    <xf numFmtId="42" fontId="0" fillId="21" borderId="0" xfId="0" applyNumberFormat="1" applyFill="1" applyAlignment="1">
      <alignment vertical="center"/>
    </xf>
    <xf numFmtId="164" fontId="7" fillId="0" borderId="0" xfId="0" applyNumberFormat="1" applyFont="1" applyAlignment="1">
      <alignment vertical="center"/>
    </xf>
    <xf numFmtId="42" fontId="0" fillId="4" borderId="0" xfId="0" applyNumberFormat="1" applyFill="1" applyAlignment="1">
      <alignment vertical="center"/>
    </xf>
    <xf numFmtId="44" fontId="0" fillId="3" borderId="0" xfId="0" applyNumberFormat="1" applyFill="1" applyAlignment="1">
      <alignment vertical="center"/>
    </xf>
    <xf numFmtId="0" fontId="3" fillId="4" borderId="0" xfId="0" applyFont="1" applyFill="1" applyAlignment="1">
      <alignment horizontal="right" vertical="center" wrapText="1"/>
    </xf>
    <xf numFmtId="44" fontId="0" fillId="3" borderId="0" xfId="0" applyNumberFormat="1" applyFill="1" applyAlignment="1">
      <alignment vertical="center" wrapText="1"/>
    </xf>
    <xf numFmtId="44" fontId="0" fillId="3" borderId="88" xfId="0" applyNumberFormat="1" applyFill="1" applyBorder="1" applyAlignment="1">
      <alignment vertical="center" wrapText="1"/>
    </xf>
    <xf numFmtId="42" fontId="3" fillId="3" borderId="0" xfId="0" applyNumberFormat="1" applyFont="1" applyFill="1" applyAlignment="1">
      <alignment vertical="center"/>
    </xf>
    <xf numFmtId="42" fontId="3" fillId="0" borderId="0" xfId="0" applyNumberFormat="1" applyFont="1" applyAlignment="1">
      <alignment vertical="center"/>
    </xf>
    <xf numFmtId="42" fontId="3" fillId="3" borderId="88" xfId="0" applyNumberFormat="1" applyFont="1" applyFill="1" applyBorder="1" applyAlignment="1">
      <alignment vertical="center"/>
    </xf>
    <xf numFmtId="42" fontId="3" fillId="0" borderId="0" xfId="0" applyNumberFormat="1" applyFont="1" applyAlignment="1">
      <alignment horizontal="right" vertical="center"/>
    </xf>
    <xf numFmtId="0" fontId="3" fillId="5" borderId="23" xfId="0" applyFont="1" applyFill="1" applyBorder="1" applyAlignment="1">
      <alignment horizontal="right" vertical="center" wrapText="1"/>
    </xf>
    <xf numFmtId="0" fontId="3" fillId="4" borderId="59" xfId="0" applyFont="1" applyFill="1" applyBorder="1" applyAlignment="1">
      <alignment vertical="center" wrapText="1"/>
    </xf>
    <xf numFmtId="0" fontId="0" fillId="0" borderId="23" xfId="0" applyBorder="1" applyAlignment="1">
      <alignment vertical="center" wrapText="1"/>
    </xf>
    <xf numFmtId="0" fontId="3" fillId="4" borderId="33" xfId="0" applyFont="1" applyFill="1" applyBorder="1" applyAlignment="1">
      <alignment vertical="center" wrapText="1"/>
    </xf>
    <xf numFmtId="173" fontId="7" fillId="17" borderId="0" xfId="0" applyNumberFormat="1" applyFont="1" applyFill="1" applyAlignment="1">
      <alignment horizontal="right" vertical="center"/>
    </xf>
    <xf numFmtId="42" fontId="7" fillId="17" borderId="0" xfId="0" applyNumberFormat="1" applyFont="1" applyFill="1" applyAlignment="1">
      <alignment horizontal="right" vertical="center"/>
    </xf>
    <xf numFmtId="42" fontId="7" fillId="17" borderId="0" xfId="0" applyNumberFormat="1" applyFont="1" applyFill="1" applyAlignment="1">
      <alignment vertical="center"/>
    </xf>
    <xf numFmtId="1" fontId="0" fillId="0" borderId="0" xfId="0" applyNumberFormat="1" applyAlignment="1">
      <alignment vertical="center"/>
    </xf>
    <xf numFmtId="0" fontId="0" fillId="4" borderId="0" xfId="0" applyFill="1" applyAlignment="1">
      <alignment vertical="center"/>
    </xf>
    <xf numFmtId="41" fontId="0" fillId="4" borderId="0" xfId="0" applyNumberFormat="1" applyFill="1" applyAlignment="1">
      <alignment vertical="center"/>
    </xf>
    <xf numFmtId="42" fontId="7" fillId="3" borderId="0" xfId="0" applyNumberFormat="1" applyFont="1" applyFill="1" applyAlignment="1">
      <alignment vertical="center"/>
    </xf>
    <xf numFmtId="1" fontId="0" fillId="3" borderId="0" xfId="0" applyNumberFormat="1" applyFill="1" applyAlignment="1">
      <alignment vertical="center"/>
    </xf>
    <xf numFmtId="41" fontId="3" fillId="0" borderId="0" xfId="0" applyNumberFormat="1" applyFont="1" applyAlignment="1">
      <alignment vertical="center"/>
    </xf>
    <xf numFmtId="42" fontId="3" fillId="17" borderId="0" xfId="0" applyNumberFormat="1" applyFont="1" applyFill="1" applyAlignment="1">
      <alignment vertical="center"/>
    </xf>
    <xf numFmtId="44" fontId="0" fillId="3" borderId="23" xfId="0" applyNumberFormat="1" applyFill="1" applyBorder="1" applyAlignment="1">
      <alignment vertical="center"/>
    </xf>
    <xf numFmtId="42" fontId="0" fillId="0" borderId="34" xfId="0" applyNumberFormat="1" applyBorder="1" applyAlignment="1">
      <alignment vertical="center"/>
    </xf>
    <xf numFmtId="41" fontId="7" fillId="0" borderId="0" xfId="0" applyNumberFormat="1" applyFont="1" applyAlignment="1">
      <alignment vertical="center"/>
    </xf>
    <xf numFmtId="166" fontId="3" fillId="5" borderId="0" xfId="0" applyNumberFormat="1" applyFont="1" applyFill="1" applyAlignment="1">
      <alignment horizontal="right"/>
    </xf>
    <xf numFmtId="166" fontId="0" fillId="0" borderId="0" xfId="0" applyNumberFormat="1"/>
    <xf numFmtId="0" fontId="7" fillId="0" borderId="0" xfId="0" applyFont="1" applyAlignment="1">
      <alignment horizontal="left" vertical="center"/>
    </xf>
    <xf numFmtId="0" fontId="1" fillId="0" borderId="0" xfId="0" applyFont="1"/>
    <xf numFmtId="42" fontId="24" fillId="0" borderId="0" xfId="0" applyNumberFormat="1" applyFont="1"/>
    <xf numFmtId="41" fontId="0" fillId="0" borderId="0" xfId="0" applyNumberFormat="1" applyAlignment="1">
      <alignment vertical="center" wrapText="1"/>
    </xf>
    <xf numFmtId="0" fontId="0" fillId="0" borderId="39" xfId="0" applyBorder="1" applyAlignment="1">
      <alignment vertical="center"/>
    </xf>
    <xf numFmtId="0" fontId="0" fillId="21" borderId="0" xfId="0" applyFill="1"/>
    <xf numFmtId="14" fontId="3" fillId="4" borderId="40" xfId="0" applyNumberFormat="1" applyFont="1" applyFill="1" applyBorder="1" applyAlignment="1">
      <alignment wrapText="1"/>
    </xf>
    <xf numFmtId="2" fontId="3" fillId="21" borderId="0" xfId="0" applyNumberFormat="1" applyFont="1" applyFill="1" applyAlignment="1">
      <alignment vertical="center"/>
    </xf>
    <xf numFmtId="44" fontId="3" fillId="5" borderId="0" xfId="0" applyNumberFormat="1" applyFont="1" applyFill="1" applyAlignment="1">
      <alignment vertical="center"/>
    </xf>
    <xf numFmtId="0" fontId="3" fillId="0" borderId="0" xfId="0" applyFont="1" applyAlignment="1">
      <alignment horizontal="center" vertical="center" wrapText="1"/>
    </xf>
    <xf numFmtId="0" fontId="7" fillId="0" borderId="0" xfId="0" applyFont="1" applyAlignment="1">
      <alignment horizontal="right" vertical="center"/>
    </xf>
    <xf numFmtId="42" fontId="3" fillId="14" borderId="23" xfId="0" applyNumberFormat="1" applyFont="1" applyFill="1" applyBorder="1"/>
    <xf numFmtId="9" fontId="7" fillId="14" borderId="23" xfId="0" applyNumberFormat="1" applyFont="1" applyFill="1" applyBorder="1" applyAlignment="1">
      <alignment vertical="center"/>
    </xf>
    <xf numFmtId="2" fontId="3" fillId="0" borderId="0" xfId="0" applyNumberFormat="1" applyFont="1" applyAlignment="1">
      <alignment horizontal="right" vertical="center"/>
    </xf>
    <xf numFmtId="41" fontId="3" fillId="4" borderId="23" xfId="0" applyNumberFormat="1" applyFont="1" applyFill="1" applyBorder="1" applyAlignment="1">
      <alignment horizontal="center" vertical="center" wrapText="1"/>
    </xf>
    <xf numFmtId="42" fontId="1" fillId="0" borderId="0" xfId="0" applyNumberFormat="1" applyFont="1" applyAlignment="1">
      <alignment vertical="center"/>
    </xf>
    <xf numFmtId="42" fontId="3" fillId="17" borderId="92" xfId="0" applyNumberFormat="1" applyFont="1" applyFill="1" applyBorder="1" applyAlignment="1">
      <alignment vertical="center"/>
    </xf>
    <xf numFmtId="173" fontId="7" fillId="0" borderId="0" xfId="0" applyNumberFormat="1" applyFont="1" applyAlignment="1">
      <alignment horizontal="right" vertical="center"/>
    </xf>
    <xf numFmtId="42" fontId="7" fillId="0" borderId="0" xfId="0" applyNumberFormat="1" applyFont="1" applyAlignment="1">
      <alignment horizontal="center" vertical="center"/>
    </xf>
    <xf numFmtId="173" fontId="7" fillId="17" borderId="49" xfId="0" applyNumberFormat="1" applyFont="1" applyFill="1" applyBorder="1" applyAlignment="1">
      <alignment horizontal="right" vertical="center"/>
    </xf>
    <xf numFmtId="42" fontId="7" fillId="17" borderId="44" xfId="0" applyNumberFormat="1" applyFont="1" applyFill="1" applyBorder="1" applyAlignment="1">
      <alignment horizontal="right" vertical="center"/>
    </xf>
    <xf numFmtId="42" fontId="7" fillId="17" borderId="50" xfId="0" applyNumberFormat="1" applyFont="1" applyFill="1" applyBorder="1" applyAlignment="1">
      <alignment vertical="center"/>
    </xf>
    <xf numFmtId="173" fontId="0" fillId="3" borderId="23" xfId="0" applyNumberFormat="1" applyFill="1" applyBorder="1" applyAlignment="1">
      <alignment vertical="center"/>
    </xf>
    <xf numFmtId="44" fontId="3" fillId="0" borderId="0" xfId="0" applyNumberFormat="1" applyFont="1" applyAlignment="1">
      <alignment vertical="center"/>
    </xf>
    <xf numFmtId="42" fontId="0" fillId="0" borderId="39" xfId="0" applyNumberFormat="1" applyBorder="1" applyAlignment="1">
      <alignment vertical="center"/>
    </xf>
    <xf numFmtId="42" fontId="3" fillId="0" borderId="39" xfId="0" applyNumberFormat="1" applyFont="1" applyBorder="1" applyAlignment="1">
      <alignment vertical="center"/>
    </xf>
    <xf numFmtId="171" fontId="0" fillId="0" borderId="0" xfId="0" applyNumberFormat="1" applyAlignment="1">
      <alignment horizontal="right" vertical="center"/>
    </xf>
    <xf numFmtId="0" fontId="3" fillId="0" borderId="0" xfId="0" applyFont="1" applyAlignment="1">
      <alignment horizontal="right" vertical="center"/>
    </xf>
    <xf numFmtId="1" fontId="3" fillId="0" borderId="0" xfId="0" applyNumberFormat="1" applyFont="1" applyAlignment="1">
      <alignment vertical="center"/>
    </xf>
    <xf numFmtId="1" fontId="8" fillId="0" borderId="0" xfId="0" applyNumberFormat="1" applyFont="1" applyAlignment="1">
      <alignment vertical="center"/>
    </xf>
    <xf numFmtId="171" fontId="3" fillId="0" borderId="0" xfId="0" applyNumberFormat="1" applyFont="1" applyAlignment="1">
      <alignment horizontal="right" vertical="center"/>
    </xf>
    <xf numFmtId="171" fontId="8" fillId="0" borderId="0" xfId="0" applyNumberFormat="1" applyFont="1" applyAlignment="1">
      <alignment vertical="center"/>
    </xf>
    <xf numFmtId="171" fontId="3" fillId="0" borderId="0" xfId="0" applyNumberFormat="1" applyFont="1" applyAlignment="1">
      <alignment vertical="center"/>
    </xf>
    <xf numFmtId="0" fontId="3" fillId="21" borderId="23" xfId="0" applyFont="1" applyFill="1" applyBorder="1" applyAlignment="1">
      <alignment vertical="center"/>
    </xf>
    <xf numFmtId="0" fontId="3" fillId="2" borderId="95" xfId="0" applyFont="1" applyFill="1" applyBorder="1" applyAlignment="1">
      <alignment horizontal="center" vertical="center" wrapText="1"/>
    </xf>
    <xf numFmtId="171" fontId="3" fillId="5" borderId="95" xfId="0" applyNumberFormat="1" applyFont="1" applyFill="1" applyBorder="1" applyAlignment="1">
      <alignment horizontal="right" vertical="center"/>
    </xf>
    <xf numFmtId="171" fontId="0" fillId="0" borderId="94" xfId="0" applyNumberFormat="1" applyBorder="1" applyAlignment="1">
      <alignment vertical="center"/>
    </xf>
    <xf numFmtId="171" fontId="0" fillId="0" borderId="96" xfId="0" applyNumberFormat="1" applyBorder="1" applyAlignment="1">
      <alignment vertical="center"/>
    </xf>
    <xf numFmtId="171" fontId="8" fillId="4" borderId="95" xfId="0" applyNumberFormat="1" applyFont="1" applyFill="1" applyBorder="1" applyAlignment="1">
      <alignment vertical="center"/>
    </xf>
    <xf numFmtId="171" fontId="0" fillId="0" borderId="93" xfId="0" applyNumberFormat="1" applyBorder="1" applyAlignment="1">
      <alignment vertical="center"/>
    </xf>
    <xf numFmtId="0" fontId="3" fillId="2" borderId="5" xfId="0" applyFont="1" applyFill="1" applyBorder="1" applyAlignment="1">
      <alignment horizontal="center" vertical="center" wrapText="1"/>
    </xf>
    <xf numFmtId="171" fontId="0" fillId="0" borderId="47" xfId="0" applyNumberFormat="1" applyBorder="1" applyAlignment="1">
      <alignment horizontal="right" vertical="center"/>
    </xf>
    <xf numFmtId="171" fontId="0" fillId="0" borderId="48" xfId="0" applyNumberFormat="1" applyBorder="1" applyAlignment="1">
      <alignment horizontal="right" vertical="center"/>
    </xf>
    <xf numFmtId="171" fontId="0" fillId="0" borderId="32" xfId="0" applyNumberFormat="1" applyBorder="1" applyAlignment="1">
      <alignment horizontal="right" vertical="center"/>
    </xf>
    <xf numFmtId="171" fontId="3" fillId="5" borderId="5" xfId="0" applyNumberFormat="1" applyFont="1" applyFill="1" applyBorder="1" applyAlignment="1">
      <alignment horizontal="right" vertical="center"/>
    </xf>
    <xf numFmtId="44" fontId="0" fillId="0" borderId="33" xfId="0" applyNumberFormat="1" applyBorder="1" applyAlignment="1">
      <alignment horizontal="right" vertical="center"/>
    </xf>
    <xf numFmtId="0" fontId="9" fillId="0" borderId="0" xfId="0" applyFont="1" applyAlignment="1">
      <alignment horizontal="left" vertical="center"/>
    </xf>
    <xf numFmtId="0" fontId="11" fillId="0" borderId="0" xfId="0" applyFont="1" applyAlignment="1">
      <alignment horizontal="left" vertical="center" wrapText="1"/>
    </xf>
    <xf numFmtId="0" fontId="1" fillId="0" borderId="0" xfId="0" applyFont="1" applyAlignment="1">
      <alignment horizontal="left" vertical="center" wrapText="1"/>
    </xf>
    <xf numFmtId="0" fontId="26" fillId="0" borderId="0" xfId="0" applyFont="1" applyAlignment="1">
      <alignment vertical="center"/>
    </xf>
    <xf numFmtId="0" fontId="10" fillId="0" borderId="0" xfId="0" applyFont="1" applyAlignment="1">
      <alignment vertical="center" wrapText="1"/>
    </xf>
    <xf numFmtId="0" fontId="27" fillId="0" borderId="5" xfId="0" applyFont="1" applyBorder="1" applyAlignment="1">
      <alignment horizontal="left" vertical="center"/>
    </xf>
    <xf numFmtId="0" fontId="10" fillId="0" borderId="6" xfId="0" applyFont="1" applyBorder="1" applyAlignment="1">
      <alignment horizontal="left" vertical="center" wrapText="1"/>
    </xf>
    <xf numFmtId="0" fontId="27" fillId="0" borderId="18" xfId="0" applyFont="1" applyBorder="1" applyAlignment="1">
      <alignment horizontal="left" vertical="center"/>
    </xf>
    <xf numFmtId="0" fontId="10" fillId="0" borderId="5" xfId="0" applyFont="1" applyBorder="1" applyAlignment="1">
      <alignment horizontal="left" vertical="center" wrapText="1"/>
    </xf>
    <xf numFmtId="0" fontId="28" fillId="20" borderId="23" xfId="0" applyFont="1" applyFill="1" applyBorder="1"/>
    <xf numFmtId="0" fontId="12" fillId="0" borderId="0" xfId="0" applyFont="1" applyAlignment="1">
      <alignment wrapText="1"/>
    </xf>
    <xf numFmtId="42" fontId="12" fillId="0" borderId="0" xfId="0" applyNumberFormat="1" applyFont="1"/>
    <xf numFmtId="0" fontId="12" fillId="0" borderId="0" xfId="0" applyFont="1"/>
    <xf numFmtId="0" fontId="30" fillId="0" borderId="0" xfId="0" applyFont="1"/>
    <xf numFmtId="0" fontId="31" fillId="25" borderId="23" xfId="0" applyFont="1" applyFill="1" applyBorder="1"/>
    <xf numFmtId="0" fontId="31" fillId="0" borderId="0" xfId="0" applyFont="1"/>
    <xf numFmtId="0" fontId="12" fillId="0" borderId="0" xfId="0" applyFont="1" applyAlignment="1">
      <alignment vertical="center"/>
    </xf>
    <xf numFmtId="42" fontId="12" fillId="0" borderId="0" xfId="0" applyNumberFormat="1" applyFont="1" applyAlignment="1">
      <alignment vertical="center"/>
    </xf>
    <xf numFmtId="0" fontId="12" fillId="0" borderId="0" xfId="0" applyFont="1" applyAlignment="1">
      <alignment vertical="center" wrapText="1"/>
    </xf>
    <xf numFmtId="0" fontId="31" fillId="25" borderId="23" xfId="0" applyFont="1" applyFill="1" applyBorder="1" applyAlignment="1">
      <alignment vertical="center"/>
    </xf>
    <xf numFmtId="0" fontId="32" fillId="13" borderId="45" xfId="0" applyFont="1" applyFill="1" applyBorder="1" applyAlignment="1">
      <alignment vertical="center" wrapText="1"/>
    </xf>
    <xf numFmtId="0" fontId="31" fillId="0" borderId="0" xfId="0" applyFont="1" applyAlignment="1">
      <alignment vertical="center"/>
    </xf>
    <xf numFmtId="0" fontId="31" fillId="25" borderId="23" xfId="0" applyFont="1" applyFill="1" applyBorder="1" applyAlignment="1">
      <alignment horizontal="left" vertical="center"/>
    </xf>
    <xf numFmtId="0" fontId="10" fillId="4" borderId="23" xfId="0" applyFont="1" applyFill="1" applyBorder="1" applyAlignment="1">
      <alignment vertical="center"/>
    </xf>
    <xf numFmtId="0" fontId="10" fillId="0" borderId="0" xfId="0" applyFont="1" applyAlignment="1">
      <alignment vertical="center"/>
    </xf>
    <xf numFmtId="42" fontId="10" fillId="0" borderId="0" xfId="0" applyNumberFormat="1" applyFont="1" applyAlignment="1">
      <alignment vertical="center"/>
    </xf>
    <xf numFmtId="0" fontId="27" fillId="0" borderId="0" xfId="0" applyFont="1" applyAlignment="1">
      <alignment horizontal="left" vertical="center"/>
    </xf>
    <xf numFmtId="42" fontId="10" fillId="0" borderId="0" xfId="0" applyNumberFormat="1" applyFont="1" applyAlignment="1">
      <alignment vertical="center" wrapText="1"/>
    </xf>
    <xf numFmtId="0" fontId="10" fillId="0" borderId="22" xfId="0" applyFont="1" applyBorder="1" applyAlignment="1">
      <alignment vertical="center" wrapText="1"/>
    </xf>
    <xf numFmtId="0" fontId="10" fillId="0" borderId="1" xfId="0" applyFont="1" applyBorder="1" applyAlignment="1">
      <alignment vertical="center"/>
    </xf>
    <xf numFmtId="0" fontId="27" fillId="4" borderId="23" xfId="0" applyFont="1" applyFill="1" applyBorder="1" applyAlignment="1">
      <alignment vertical="center" wrapText="1"/>
    </xf>
    <xf numFmtId="0" fontId="27" fillId="4" borderId="23" xfId="0" applyFont="1" applyFill="1" applyBorder="1" applyAlignment="1">
      <alignment horizontal="right" vertical="center" wrapText="1"/>
    </xf>
    <xf numFmtId="0" fontId="10" fillId="0" borderId="23" xfId="0" applyFont="1" applyBorder="1" applyAlignment="1">
      <alignment vertical="center"/>
    </xf>
    <xf numFmtId="0" fontId="10" fillId="17" borderId="23" xfId="0" applyFont="1" applyFill="1" applyBorder="1" applyAlignment="1">
      <alignment vertical="center"/>
    </xf>
    <xf numFmtId="0" fontId="10" fillId="0" borderId="21" xfId="0" applyFont="1" applyBorder="1" applyAlignment="1">
      <alignment vertical="center"/>
    </xf>
    <xf numFmtId="0" fontId="27" fillId="4" borderId="23" xfId="0" applyFont="1" applyFill="1" applyBorder="1" applyAlignment="1">
      <alignment vertical="center"/>
    </xf>
    <xf numFmtId="42" fontId="10" fillId="4" borderId="23" xfId="0" applyNumberFormat="1" applyFont="1" applyFill="1" applyBorder="1" applyAlignment="1">
      <alignment vertical="center"/>
    </xf>
    <xf numFmtId="42" fontId="10" fillId="0" borderId="23" xfId="0" applyNumberFormat="1" applyFont="1" applyBorder="1" applyAlignment="1">
      <alignment horizontal="right" vertical="center"/>
    </xf>
    <xf numFmtId="0" fontId="27" fillId="4" borderId="23" xfId="0" applyFont="1" applyFill="1" applyBorder="1" applyAlignment="1">
      <alignment horizontal="right" vertical="center"/>
    </xf>
    <xf numFmtId="42" fontId="27" fillId="4" borderId="23" xfId="0" applyNumberFormat="1" applyFont="1" applyFill="1" applyBorder="1" applyAlignment="1">
      <alignment vertical="center"/>
    </xf>
    <xf numFmtId="0" fontId="10" fillId="0" borderId="0" xfId="0" applyFont="1" applyAlignment="1">
      <alignment horizontal="center" vertical="center"/>
    </xf>
    <xf numFmtId="0" fontId="10" fillId="0" borderId="0" xfId="0" applyFont="1"/>
    <xf numFmtId="1" fontId="36" fillId="10" borderId="23" xfId="0" applyNumberFormat="1" applyFont="1" applyFill="1" applyBorder="1" applyAlignment="1">
      <alignment horizontal="left" vertical="center"/>
    </xf>
    <xf numFmtId="0" fontId="36" fillId="4" borderId="23" xfId="0" applyFont="1" applyFill="1" applyBorder="1" applyAlignment="1">
      <alignment vertical="center"/>
    </xf>
    <xf numFmtId="0" fontId="36" fillId="20" borderId="23" xfId="0" applyFont="1" applyFill="1" applyBorder="1" applyAlignment="1" applyProtection="1">
      <alignment horizontal="right" vertical="center"/>
      <protection locked="0"/>
    </xf>
    <xf numFmtId="0" fontId="36" fillId="0" borderId="0" xfId="0" applyFont="1" applyAlignment="1">
      <alignment vertical="center"/>
    </xf>
    <xf numFmtId="0" fontId="29" fillId="0" borderId="0" xfId="0" applyFont="1" applyAlignment="1">
      <alignment vertical="center" wrapText="1"/>
    </xf>
    <xf numFmtId="42" fontId="36" fillId="0" borderId="0" xfId="0" applyNumberFormat="1" applyFont="1" applyAlignment="1">
      <alignment vertical="center"/>
    </xf>
    <xf numFmtId="1" fontId="36" fillId="20" borderId="23" xfId="0" applyNumberFormat="1" applyFont="1" applyFill="1" applyBorder="1" applyAlignment="1" applyProtection="1">
      <alignment horizontal="right" vertical="center"/>
      <protection locked="0"/>
    </xf>
    <xf numFmtId="0" fontId="36" fillId="0" borderId="0" xfId="0" applyFont="1" applyAlignment="1">
      <alignment vertical="center" wrapText="1"/>
    </xf>
    <xf numFmtId="0" fontId="37" fillId="0" borderId="0" xfId="0" applyFont="1" applyAlignment="1">
      <alignment vertical="center"/>
    </xf>
    <xf numFmtId="0" fontId="36" fillId="4" borderId="23" xfId="0" applyFont="1" applyFill="1" applyBorder="1" applyAlignment="1">
      <alignment vertical="center" wrapText="1"/>
    </xf>
    <xf numFmtId="2" fontId="36" fillId="20" borderId="23" xfId="0" applyNumberFormat="1" applyFont="1" applyFill="1" applyBorder="1" applyAlignment="1" applyProtection="1">
      <alignment horizontal="right" vertical="center"/>
      <protection locked="0"/>
    </xf>
    <xf numFmtId="2" fontId="36" fillId="4" borderId="23" xfId="0" applyNumberFormat="1" applyFont="1" applyFill="1" applyBorder="1" applyAlignment="1">
      <alignment horizontal="right" vertical="center"/>
    </xf>
    <xf numFmtId="1" fontId="29" fillId="0" borderId="0" xfId="0" applyNumberFormat="1" applyFont="1" applyAlignment="1">
      <alignment horizontal="left" vertical="center" wrapText="1"/>
    </xf>
    <xf numFmtId="42" fontId="29" fillId="0" borderId="0" xfId="0" applyNumberFormat="1" applyFont="1" applyAlignment="1">
      <alignment horizontal="left" vertical="center"/>
    </xf>
    <xf numFmtId="14" fontId="36" fillId="20" borderId="23" xfId="0" applyNumberFormat="1" applyFont="1" applyFill="1" applyBorder="1" applyAlignment="1" applyProtection="1">
      <alignment horizontal="right" vertical="center"/>
      <protection locked="0"/>
    </xf>
    <xf numFmtId="14" fontId="29" fillId="0" borderId="0" xfId="0" applyNumberFormat="1" applyFont="1" applyAlignment="1">
      <alignment horizontal="left" vertical="center"/>
    </xf>
    <xf numFmtId="14" fontId="29" fillId="0" borderId="0" xfId="0" applyNumberFormat="1" applyFont="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36" fillId="20" borderId="23" xfId="0" applyFont="1" applyFill="1" applyBorder="1" applyAlignment="1" applyProtection="1">
      <alignment horizontal="right" vertical="center" wrapText="1"/>
      <protection locked="0"/>
    </xf>
    <xf numFmtId="42" fontId="36" fillId="0" borderId="0" xfId="0" applyNumberFormat="1" applyFont="1" applyAlignment="1">
      <alignment vertical="center" wrapText="1"/>
    </xf>
    <xf numFmtId="0" fontId="29" fillId="0" borderId="0" xfId="0" applyFont="1" applyAlignment="1">
      <alignment vertical="center"/>
    </xf>
    <xf numFmtId="0" fontId="36" fillId="4" borderId="23" xfId="0" applyFont="1" applyFill="1" applyBorder="1" applyAlignment="1">
      <alignment horizontal="right" vertical="center"/>
    </xf>
    <xf numFmtId="6" fontId="36" fillId="10" borderId="45" xfId="0" applyNumberFormat="1" applyFont="1" applyFill="1" applyBorder="1" applyAlignment="1">
      <alignment vertical="center"/>
    </xf>
    <xf numFmtId="0" fontId="36" fillId="10" borderId="59" xfId="0" applyFont="1" applyFill="1" applyBorder="1" applyAlignment="1">
      <alignment vertical="center" wrapText="1"/>
    </xf>
    <xf numFmtId="0" fontId="36" fillId="10" borderId="33" xfId="0" applyFont="1" applyFill="1" applyBorder="1" applyAlignment="1">
      <alignment vertical="center" wrapText="1"/>
    </xf>
    <xf numFmtId="0" fontId="36" fillId="0" borderId="0" xfId="0" applyFont="1" applyAlignment="1">
      <alignment horizontal="right" vertical="center"/>
    </xf>
    <xf numFmtId="6" fontId="36" fillId="0" borderId="0" xfId="0" applyNumberFormat="1" applyFont="1" applyAlignment="1">
      <alignment vertical="center"/>
    </xf>
    <xf numFmtId="0" fontId="29" fillId="22" borderId="23" xfId="0" applyFont="1" applyFill="1" applyBorder="1" applyAlignment="1">
      <alignment vertical="center"/>
    </xf>
    <xf numFmtId="0" fontId="29" fillId="22" borderId="23" xfId="0" applyFont="1" applyFill="1" applyBorder="1" applyAlignment="1">
      <alignment horizontal="right" vertical="center"/>
    </xf>
    <xf numFmtId="0" fontId="29" fillId="22" borderId="23" xfId="0" applyFont="1" applyFill="1" applyBorder="1" applyAlignment="1">
      <alignment horizontal="right" vertical="center" wrapText="1"/>
    </xf>
    <xf numFmtId="0" fontId="36" fillId="20" borderId="23" xfId="0" applyFont="1" applyFill="1" applyBorder="1" applyAlignment="1" applyProtection="1">
      <alignment vertical="center"/>
      <protection locked="0"/>
    </xf>
    <xf numFmtId="0" fontId="36" fillId="4" borderId="21" xfId="0" applyFont="1" applyFill="1" applyBorder="1" applyAlignment="1">
      <alignment vertical="center"/>
    </xf>
    <xf numFmtId="0" fontId="36" fillId="20" borderId="21" xfId="0" applyFont="1" applyFill="1" applyBorder="1" applyAlignment="1" applyProtection="1">
      <alignment vertical="center"/>
      <protection locked="0"/>
    </xf>
    <xf numFmtId="1" fontId="36" fillId="5" borderId="23" xfId="0" applyNumberFormat="1" applyFont="1" applyFill="1" applyBorder="1" applyAlignment="1">
      <alignment vertical="center"/>
    </xf>
    <xf numFmtId="0" fontId="36" fillId="10" borderId="23" xfId="0" applyFont="1" applyFill="1" applyBorder="1" applyAlignment="1">
      <alignment vertical="center"/>
    </xf>
    <xf numFmtId="0" fontId="36" fillId="0" borderId="23" xfId="0" applyFont="1" applyBorder="1" applyAlignment="1">
      <alignment vertical="center"/>
    </xf>
    <xf numFmtId="1" fontId="36" fillId="5" borderId="23" xfId="0" applyNumberFormat="1" applyFont="1" applyFill="1" applyBorder="1" applyAlignment="1">
      <alignment horizontal="right" vertical="center"/>
    </xf>
    <xf numFmtId="0" fontId="29" fillId="0" borderId="34" xfId="0" applyFont="1" applyBorder="1" applyAlignment="1">
      <alignment horizontal="right" vertical="center"/>
    </xf>
    <xf numFmtId="1" fontId="36" fillId="0" borderId="39" xfId="0" applyNumberFormat="1" applyFont="1" applyBorder="1" applyAlignment="1">
      <alignment vertical="center"/>
    </xf>
    <xf numFmtId="0" fontId="39" fillId="0" borderId="1" xfId="13" applyFont="1" applyBorder="1" applyAlignment="1" applyProtection="1">
      <alignment vertical="center"/>
    </xf>
    <xf numFmtId="0" fontId="39" fillId="0" borderId="0" xfId="13" applyFont="1" applyFill="1" applyBorder="1" applyAlignment="1" applyProtection="1">
      <alignment vertical="center"/>
    </xf>
    <xf numFmtId="0" fontId="36" fillId="0" borderId="1" xfId="0" applyFont="1" applyBorder="1" applyAlignment="1">
      <alignment vertical="center"/>
    </xf>
    <xf numFmtId="0" fontId="29" fillId="0" borderId="1" xfId="0" applyFont="1" applyBorder="1" applyAlignment="1">
      <alignment vertical="center"/>
    </xf>
    <xf numFmtId="1" fontId="29" fillId="13" borderId="23" xfId="0" applyNumberFormat="1" applyFont="1" applyFill="1" applyBorder="1" applyAlignment="1">
      <alignment horizontal="right" vertical="center" wrapText="1"/>
    </xf>
    <xf numFmtId="0" fontId="36" fillId="4" borderId="45" xfId="0" applyFont="1" applyFill="1" applyBorder="1" applyAlignment="1">
      <alignment vertical="center" wrapText="1"/>
    </xf>
    <xf numFmtId="0" fontId="36" fillId="4" borderId="40" xfId="0" applyFont="1" applyFill="1" applyBorder="1" applyAlignment="1">
      <alignment vertical="center" wrapText="1"/>
    </xf>
    <xf numFmtId="2" fontId="36" fillId="20" borderId="21" xfId="0" applyNumberFormat="1" applyFont="1" applyFill="1" applyBorder="1" applyAlignment="1" applyProtection="1">
      <alignment horizontal="right" vertical="center"/>
      <protection locked="0"/>
    </xf>
    <xf numFmtId="0" fontId="29" fillId="4" borderId="66" xfId="0" applyFont="1" applyFill="1" applyBorder="1" applyAlignment="1">
      <alignment vertical="center"/>
    </xf>
    <xf numFmtId="2" fontId="36" fillId="10" borderId="23" xfId="0" applyNumberFormat="1" applyFont="1" applyFill="1" applyBorder="1" applyAlignment="1">
      <alignment horizontal="left" vertical="center"/>
    </xf>
    <xf numFmtId="1" fontId="29" fillId="0" borderId="0" xfId="0" applyNumberFormat="1" applyFont="1" applyAlignment="1">
      <alignment vertical="center" wrapText="1"/>
    </xf>
    <xf numFmtId="2" fontId="36" fillId="0" borderId="0" xfId="0" applyNumberFormat="1" applyFont="1" applyAlignment="1">
      <alignment horizontal="center" vertical="center"/>
    </xf>
    <xf numFmtId="0" fontId="29" fillId="4" borderId="64" xfId="0" applyFont="1" applyFill="1" applyBorder="1" applyAlignment="1">
      <alignment vertical="center"/>
    </xf>
    <xf numFmtId="0" fontId="36" fillId="4" borderId="49" xfId="0" applyFont="1" applyFill="1" applyBorder="1" applyAlignment="1">
      <alignment vertical="center" wrapText="1"/>
    </xf>
    <xf numFmtId="2" fontId="36" fillId="20" borderId="22" xfId="0" applyNumberFormat="1" applyFont="1" applyFill="1" applyBorder="1" applyAlignment="1" applyProtection="1">
      <alignment horizontal="right" vertical="center"/>
      <protection locked="0"/>
    </xf>
    <xf numFmtId="2" fontId="29" fillId="0" borderId="0" xfId="0" applyNumberFormat="1" applyFont="1" applyAlignment="1">
      <alignment horizontal="center" vertical="center"/>
    </xf>
    <xf numFmtId="42" fontId="36" fillId="0" borderId="44" xfId="0" applyNumberFormat="1" applyFont="1" applyBorder="1" applyAlignment="1">
      <alignment vertical="center" wrapText="1"/>
    </xf>
    <xf numFmtId="0" fontId="36" fillId="0" borderId="44" xfId="0" applyFont="1" applyBorder="1" applyAlignment="1">
      <alignment vertical="center" wrapText="1"/>
    </xf>
    <xf numFmtId="0" fontId="29" fillId="4" borderId="23" xfId="0" applyFont="1" applyFill="1" applyBorder="1" applyAlignment="1">
      <alignment vertical="center" wrapText="1"/>
    </xf>
    <xf numFmtId="0" fontId="29" fillId="4" borderId="23" xfId="0" applyFont="1" applyFill="1" applyBorder="1" applyAlignment="1">
      <alignment horizontal="right" vertical="center" wrapText="1"/>
    </xf>
    <xf numFmtId="0" fontId="29" fillId="5" borderId="23" xfId="0" applyFont="1" applyFill="1" applyBorder="1" applyAlignment="1">
      <alignment horizontal="right" vertical="center" wrapText="1"/>
    </xf>
    <xf numFmtId="164" fontId="36" fillId="20" borderId="23" xfId="0" applyNumberFormat="1" applyFont="1" applyFill="1" applyBorder="1" applyAlignment="1" applyProtection="1">
      <alignment horizontal="right" vertical="center"/>
      <protection locked="0"/>
    </xf>
    <xf numFmtId="9" fontId="36" fillId="20" borderId="23" xfId="0" applyNumberFormat="1" applyFont="1" applyFill="1" applyBorder="1" applyAlignment="1" applyProtection="1">
      <alignment horizontal="right" vertical="center"/>
      <protection locked="0"/>
    </xf>
    <xf numFmtId="0" fontId="36" fillId="17" borderId="23" xfId="0" applyFont="1" applyFill="1" applyBorder="1" applyAlignment="1">
      <alignment vertical="center"/>
    </xf>
    <xf numFmtId="0" fontId="36" fillId="0" borderId="21" xfId="0" applyFont="1" applyBorder="1" applyAlignment="1">
      <alignment vertical="center"/>
    </xf>
    <xf numFmtId="0" fontId="36" fillId="17" borderId="23" xfId="0" applyFont="1" applyFill="1" applyBorder="1" applyAlignment="1">
      <alignment horizontal="right" vertical="center"/>
    </xf>
    <xf numFmtId="0" fontId="29" fillId="4" borderId="23" xfId="0" applyFont="1" applyFill="1" applyBorder="1" applyAlignment="1">
      <alignment vertical="center"/>
    </xf>
    <xf numFmtId="2" fontId="29" fillId="4" borderId="23" xfId="0" applyNumberFormat="1" applyFont="1" applyFill="1" applyBorder="1" applyAlignment="1">
      <alignment horizontal="right" vertical="center"/>
    </xf>
    <xf numFmtId="164" fontId="36" fillId="4" borderId="23" xfId="0" applyNumberFormat="1" applyFont="1" applyFill="1" applyBorder="1" applyAlignment="1">
      <alignment horizontal="right" vertical="center"/>
    </xf>
    <xf numFmtId="42" fontId="36" fillId="4" borderId="23" xfId="0" applyNumberFormat="1" applyFont="1" applyFill="1" applyBorder="1" applyAlignment="1">
      <alignment vertical="center"/>
    </xf>
    <xf numFmtId="42" fontId="36" fillId="0" borderId="23" xfId="0" applyNumberFormat="1" applyFont="1" applyBorder="1" applyAlignment="1">
      <alignment horizontal="right" vertical="center"/>
    </xf>
    <xf numFmtId="0" fontId="29" fillId="4" borderId="23" xfId="0" applyFont="1" applyFill="1" applyBorder="1" applyAlignment="1">
      <alignment horizontal="right" vertical="center"/>
    </xf>
    <xf numFmtId="42" fontId="29" fillId="4" borderId="23" xfId="0" applyNumberFormat="1" applyFont="1" applyFill="1" applyBorder="1" applyAlignment="1">
      <alignment vertical="center"/>
    </xf>
    <xf numFmtId="0" fontId="29" fillId="4" borderId="67" xfId="0" applyFont="1" applyFill="1" applyBorder="1" applyAlignment="1">
      <alignment vertical="center"/>
    </xf>
    <xf numFmtId="0" fontId="38" fillId="0" borderId="0" xfId="0" applyFont="1" applyAlignment="1">
      <alignment vertical="center"/>
    </xf>
    <xf numFmtId="0" fontId="29" fillId="22" borderId="23" xfId="0" applyFont="1" applyFill="1" applyBorder="1" applyAlignment="1">
      <alignment horizontal="left" vertical="center"/>
    </xf>
    <xf numFmtId="0" fontId="41" fillId="0" borderId="38" xfId="0" applyFont="1" applyBorder="1" applyAlignment="1">
      <alignment horizontal="center" vertical="center" wrapText="1"/>
    </xf>
    <xf numFmtId="0" fontId="36" fillId="4" borderId="34" xfId="0" applyFont="1" applyFill="1" applyBorder="1" applyAlignment="1">
      <alignment vertical="center"/>
    </xf>
    <xf numFmtId="0" fontId="36" fillId="4" borderId="39" xfId="0" applyFont="1" applyFill="1" applyBorder="1" applyAlignment="1">
      <alignment vertical="center"/>
    </xf>
    <xf numFmtId="0" fontId="36" fillId="10" borderId="23" xfId="0" applyFont="1" applyFill="1" applyBorder="1" applyAlignment="1">
      <alignment horizontal="left" vertical="center"/>
    </xf>
    <xf numFmtId="42" fontId="36" fillId="10" borderId="23" xfId="0" applyNumberFormat="1" applyFont="1" applyFill="1" applyBorder="1" applyAlignment="1">
      <alignment vertical="center"/>
    </xf>
    <xf numFmtId="0" fontId="36" fillId="4" borderId="69" xfId="0" applyFont="1" applyFill="1" applyBorder="1" applyAlignment="1">
      <alignment vertical="center"/>
    </xf>
    <xf numFmtId="2" fontId="29" fillId="0" borderId="0" xfId="0" applyNumberFormat="1" applyFont="1" applyAlignment="1">
      <alignment horizontal="right" vertical="center"/>
    </xf>
    <xf numFmtId="0" fontId="36" fillId="0" borderId="0" xfId="0" applyFont="1" applyAlignment="1">
      <alignment horizontal="left" vertical="center"/>
    </xf>
    <xf numFmtId="0" fontId="36" fillId="0" borderId="0" xfId="0" applyFont="1"/>
    <xf numFmtId="0" fontId="36" fillId="22" borderId="23" xfId="0" applyFont="1" applyFill="1" applyBorder="1" applyAlignment="1">
      <alignment vertical="center"/>
    </xf>
    <xf numFmtId="42" fontId="36" fillId="20" borderId="23" xfId="0" applyNumberFormat="1" applyFont="1" applyFill="1" applyBorder="1" applyAlignment="1" applyProtection="1">
      <alignment vertical="center"/>
      <protection locked="0"/>
    </xf>
    <xf numFmtId="42" fontId="36" fillId="20" borderId="21" xfId="0" applyNumberFormat="1" applyFont="1" applyFill="1" applyBorder="1" applyAlignment="1" applyProtection="1">
      <alignment vertical="center"/>
      <protection locked="0"/>
    </xf>
    <xf numFmtId="42" fontId="29" fillId="0" borderId="0" xfId="0" applyNumberFormat="1" applyFont="1" applyAlignment="1">
      <alignment vertical="center"/>
    </xf>
    <xf numFmtId="0" fontId="29" fillId="22" borderId="45" xfId="0" applyFont="1" applyFill="1" applyBorder="1" applyAlignment="1">
      <alignment vertical="center"/>
    </xf>
    <xf numFmtId="0" fontId="29" fillId="22" borderId="23" xfId="0" applyFont="1" applyFill="1" applyBorder="1" applyAlignment="1">
      <alignment horizontal="center" vertical="center"/>
    </xf>
    <xf numFmtId="0" fontId="29" fillId="0" borderId="38" xfId="0" applyFont="1" applyBorder="1" applyAlignment="1">
      <alignment horizontal="center" vertical="center" wrapText="1"/>
    </xf>
    <xf numFmtId="0" fontId="29" fillId="0" borderId="0" xfId="0" applyFont="1" applyAlignment="1">
      <alignment horizontal="center" vertical="center" wrapText="1"/>
    </xf>
    <xf numFmtId="42" fontId="36" fillId="20" borderId="59" xfId="0" applyNumberFormat="1" applyFont="1" applyFill="1" applyBorder="1" applyAlignment="1" applyProtection="1">
      <alignment horizontal="center" vertical="center"/>
      <protection locked="0"/>
    </xf>
    <xf numFmtId="0" fontId="36" fillId="20" borderId="23" xfId="0" applyFont="1" applyFill="1" applyBorder="1" applyAlignment="1" applyProtection="1">
      <alignment horizontal="center" vertical="center"/>
      <protection locked="0"/>
    </xf>
    <xf numFmtId="0" fontId="36" fillId="0" borderId="0" xfId="0" applyFont="1" applyAlignment="1">
      <alignment horizontal="center" vertical="center"/>
    </xf>
    <xf numFmtId="0" fontId="29" fillId="0" borderId="0" xfId="0" applyFont="1" applyAlignment="1">
      <alignment horizontal="center" vertical="center"/>
    </xf>
    <xf numFmtId="0" fontId="36" fillId="20" borderId="45" xfId="0" applyFont="1" applyFill="1" applyBorder="1" applyAlignment="1" applyProtection="1">
      <alignment vertical="center"/>
      <protection locked="0"/>
    </xf>
    <xf numFmtId="42" fontId="36" fillId="20" borderId="23" xfId="0" applyNumberFormat="1" applyFont="1" applyFill="1" applyBorder="1" applyAlignment="1" applyProtection="1">
      <alignment horizontal="center" vertical="center"/>
      <protection locked="0"/>
    </xf>
    <xf numFmtId="0" fontId="29" fillId="20" borderId="78" xfId="0" applyFont="1" applyFill="1" applyBorder="1" applyAlignment="1" applyProtection="1">
      <alignment horizontal="center" vertical="center" wrapText="1"/>
      <protection locked="0"/>
    </xf>
    <xf numFmtId="0" fontId="29" fillId="20" borderId="32" xfId="0" applyFont="1" applyFill="1" applyBorder="1" applyAlignment="1" applyProtection="1">
      <alignment horizontal="center" vertical="center" wrapText="1"/>
      <protection locked="0"/>
    </xf>
    <xf numFmtId="0" fontId="36" fillId="20" borderId="24" xfId="0" applyFont="1" applyFill="1" applyBorder="1" applyAlignment="1" applyProtection="1">
      <alignment vertical="center"/>
      <protection locked="0"/>
    </xf>
    <xf numFmtId="167" fontId="36" fillId="20" borderId="25" xfId="0" applyNumberFormat="1" applyFont="1" applyFill="1" applyBorder="1" applyAlignment="1" applyProtection="1">
      <alignment vertical="center"/>
      <protection locked="0"/>
    </xf>
    <xf numFmtId="1" fontId="36" fillId="20" borderId="25" xfId="0" applyNumberFormat="1" applyFont="1" applyFill="1" applyBorder="1" applyAlignment="1" applyProtection="1">
      <alignment vertical="center"/>
      <protection locked="0"/>
    </xf>
    <xf numFmtId="0" fontId="36" fillId="20" borderId="25" xfId="0" applyFont="1" applyFill="1" applyBorder="1" applyAlignment="1" applyProtection="1">
      <alignment vertical="center"/>
      <protection locked="0"/>
    </xf>
    <xf numFmtId="0" fontId="36" fillId="20" borderId="26" xfId="0" applyFont="1" applyFill="1" applyBorder="1" applyAlignment="1" applyProtection="1">
      <alignment vertical="center"/>
      <protection locked="0"/>
    </xf>
    <xf numFmtId="167" fontId="36" fillId="20" borderId="27" xfId="0" applyNumberFormat="1" applyFont="1" applyFill="1" applyBorder="1" applyAlignment="1" applyProtection="1">
      <alignment vertical="center"/>
      <protection locked="0"/>
    </xf>
    <xf numFmtId="1" fontId="36" fillId="20" borderId="27" xfId="0" applyNumberFormat="1" applyFont="1" applyFill="1" applyBorder="1" applyAlignment="1" applyProtection="1">
      <alignment vertical="center"/>
      <protection locked="0"/>
    </xf>
    <xf numFmtId="0" fontId="36" fillId="20" borderId="27" xfId="0" applyFont="1" applyFill="1" applyBorder="1" applyAlignment="1" applyProtection="1">
      <alignment vertical="center"/>
      <protection locked="0"/>
    </xf>
    <xf numFmtId="0" fontId="36" fillId="20" borderId="28" xfId="0" applyFont="1" applyFill="1" applyBorder="1" applyAlignment="1" applyProtection="1">
      <alignment vertical="center"/>
      <protection locked="0"/>
    </xf>
    <xf numFmtId="1" fontId="36" fillId="20" borderId="29" xfId="0" applyNumberFormat="1" applyFont="1" applyFill="1" applyBorder="1" applyAlignment="1" applyProtection="1">
      <alignment vertical="center"/>
      <protection locked="0"/>
    </xf>
    <xf numFmtId="0" fontId="36" fillId="20" borderId="30" xfId="0" applyFont="1" applyFill="1" applyBorder="1" applyAlignment="1" applyProtection="1">
      <alignment vertical="center"/>
      <protection locked="0"/>
    </xf>
    <xf numFmtId="167" fontId="36" fillId="20" borderId="31" xfId="0" applyNumberFormat="1" applyFont="1" applyFill="1" applyBorder="1" applyAlignment="1" applyProtection="1">
      <alignment vertical="center"/>
      <protection locked="0"/>
    </xf>
    <xf numFmtId="1" fontId="36" fillId="20" borderId="31" xfId="0" applyNumberFormat="1" applyFont="1" applyFill="1" applyBorder="1" applyAlignment="1" applyProtection="1">
      <alignment vertical="center"/>
      <protection locked="0"/>
    </xf>
    <xf numFmtId="0" fontId="36" fillId="20" borderId="31" xfId="0" applyFont="1" applyFill="1" applyBorder="1" applyAlignment="1" applyProtection="1">
      <alignment vertical="center"/>
      <protection locked="0"/>
    </xf>
    <xf numFmtId="0" fontId="29" fillId="20" borderId="6" xfId="0" applyFont="1" applyFill="1" applyBorder="1" applyAlignment="1" applyProtection="1">
      <alignment vertical="center"/>
      <protection locked="0"/>
    </xf>
    <xf numFmtId="0" fontId="29" fillId="20" borderId="5" xfId="0" applyFont="1" applyFill="1" applyBorder="1" applyAlignment="1" applyProtection="1">
      <alignment vertical="center"/>
      <protection locked="0"/>
    </xf>
    <xf numFmtId="1" fontId="29" fillId="20" borderId="47" xfId="0" applyNumberFormat="1" applyFont="1" applyFill="1" applyBorder="1" applyAlignment="1" applyProtection="1">
      <alignment vertical="center"/>
      <protection locked="0"/>
    </xf>
    <xf numFmtId="168" fontId="29" fillId="0" borderId="0" xfId="0" applyNumberFormat="1" applyFont="1" applyAlignment="1">
      <alignment vertical="center"/>
    </xf>
    <xf numFmtId="169" fontId="29" fillId="0" borderId="76" xfId="0" applyNumberFormat="1" applyFont="1" applyBorder="1" applyAlignment="1">
      <alignment vertical="center"/>
    </xf>
    <xf numFmtId="1" fontId="29" fillId="12" borderId="21" xfId="0" applyNumberFormat="1" applyFont="1" applyFill="1" applyBorder="1" applyAlignment="1">
      <alignment vertical="center"/>
    </xf>
    <xf numFmtId="0" fontId="29" fillId="4" borderId="78" xfId="0" applyFont="1" applyFill="1" applyBorder="1" applyAlignment="1" applyProtection="1">
      <alignment horizontal="center" vertical="center" wrapText="1"/>
      <protection locked="0"/>
    </xf>
    <xf numFmtId="0" fontId="29" fillId="4" borderId="32" xfId="0" applyFont="1" applyFill="1" applyBorder="1" applyAlignment="1" applyProtection="1">
      <alignment horizontal="center" vertical="center" wrapText="1"/>
      <protection locked="0"/>
    </xf>
    <xf numFmtId="0" fontId="36" fillId="4" borderId="24" xfId="0" applyFont="1" applyFill="1" applyBorder="1" applyAlignment="1" applyProtection="1">
      <alignment vertical="center"/>
      <protection locked="0"/>
    </xf>
    <xf numFmtId="1" fontId="36" fillId="4" borderId="25" xfId="0" applyNumberFormat="1" applyFont="1" applyFill="1" applyBorder="1" applyAlignment="1" applyProtection="1">
      <alignment vertical="center"/>
      <protection locked="0"/>
    </xf>
    <xf numFmtId="0" fontId="36" fillId="4" borderId="25" xfId="0" applyFont="1" applyFill="1" applyBorder="1" applyAlignment="1" applyProtection="1">
      <alignment vertical="center"/>
      <protection locked="0"/>
    </xf>
    <xf numFmtId="0" fontId="36" fillId="4" borderId="26" xfId="0" applyFont="1" applyFill="1" applyBorder="1" applyAlignment="1" applyProtection="1">
      <alignment vertical="center"/>
      <protection locked="0"/>
    </xf>
    <xf numFmtId="1" fontId="36" fillId="4" borderId="27" xfId="0" applyNumberFormat="1" applyFont="1" applyFill="1" applyBorder="1" applyAlignment="1" applyProtection="1">
      <alignment vertical="center"/>
      <protection locked="0"/>
    </xf>
    <xf numFmtId="0" fontId="36" fillId="4" borderId="27" xfId="0" applyFont="1" applyFill="1" applyBorder="1" applyAlignment="1" applyProtection="1">
      <alignment vertical="center"/>
      <protection locked="0"/>
    </xf>
    <xf numFmtId="1" fontId="36" fillId="4" borderId="30" xfId="0" applyNumberFormat="1" applyFont="1" applyFill="1" applyBorder="1" applyAlignment="1" applyProtection="1">
      <alignment vertical="center"/>
      <protection locked="0"/>
    </xf>
    <xf numFmtId="1" fontId="36" fillId="4" borderId="31" xfId="0" applyNumberFormat="1" applyFont="1" applyFill="1" applyBorder="1" applyAlignment="1" applyProtection="1">
      <alignment vertical="center"/>
      <protection locked="0"/>
    </xf>
    <xf numFmtId="0" fontId="41" fillId="4" borderId="56" xfId="0" applyFont="1" applyFill="1" applyBorder="1" applyAlignment="1" applyProtection="1">
      <alignment vertical="center"/>
      <protection locked="0"/>
    </xf>
    <xf numFmtId="167" fontId="41" fillId="4" borderId="43" xfId="0" applyNumberFormat="1" applyFont="1" applyFill="1" applyBorder="1" applyAlignment="1" applyProtection="1">
      <alignment vertical="center"/>
      <protection locked="0"/>
    </xf>
    <xf numFmtId="167" fontId="41" fillId="4" borderId="58" xfId="0" applyNumberFormat="1" applyFont="1" applyFill="1" applyBorder="1" applyAlignment="1" applyProtection="1">
      <alignment vertical="center"/>
      <protection locked="0"/>
    </xf>
    <xf numFmtId="1" fontId="41" fillId="4" borderId="5" xfId="0" applyNumberFormat="1" applyFont="1" applyFill="1" applyBorder="1" applyAlignment="1" applyProtection="1">
      <alignment vertical="center"/>
      <protection locked="0"/>
    </xf>
    <xf numFmtId="167" fontId="36" fillId="4" borderId="25" xfId="0" applyNumberFormat="1" applyFont="1" applyFill="1" applyBorder="1" applyAlignment="1" applyProtection="1">
      <alignment vertical="center"/>
      <protection locked="0"/>
    </xf>
    <xf numFmtId="167" fontId="36" fillId="4" borderId="27" xfId="0" applyNumberFormat="1" applyFont="1" applyFill="1" applyBorder="1" applyAlignment="1" applyProtection="1">
      <alignment vertical="center"/>
      <protection locked="0"/>
    </xf>
    <xf numFmtId="0" fontId="36" fillId="4" borderId="28" xfId="0" applyFont="1" applyFill="1" applyBorder="1" applyAlignment="1" applyProtection="1">
      <alignment vertical="center"/>
      <protection locked="0"/>
    </xf>
    <xf numFmtId="1" fontId="36" fillId="4" borderId="29" xfId="0" applyNumberFormat="1" applyFont="1" applyFill="1" applyBorder="1" applyAlignment="1" applyProtection="1">
      <alignment vertical="center"/>
      <protection locked="0"/>
    </xf>
    <xf numFmtId="0" fontId="36" fillId="4" borderId="30" xfId="0" applyFont="1" applyFill="1" applyBorder="1" applyAlignment="1" applyProtection="1">
      <alignment vertical="center"/>
      <protection locked="0"/>
    </xf>
    <xf numFmtId="167" fontId="36" fillId="4" borderId="31" xfId="0" applyNumberFormat="1" applyFont="1" applyFill="1" applyBorder="1" applyAlignment="1" applyProtection="1">
      <alignment vertical="center"/>
      <protection locked="0"/>
    </xf>
    <xf numFmtId="0" fontId="36" fillId="4" borderId="31" xfId="0" applyFont="1" applyFill="1" applyBorder="1" applyAlignment="1" applyProtection="1">
      <alignment vertical="center"/>
      <protection locked="0"/>
    </xf>
    <xf numFmtId="0" fontId="41" fillId="4" borderId="19" xfId="0" applyFont="1" applyFill="1" applyBorder="1" applyAlignment="1" applyProtection="1">
      <alignment vertical="center"/>
      <protection locked="0"/>
    </xf>
    <xf numFmtId="0" fontId="29" fillId="4" borderId="57" xfId="0" applyFont="1" applyFill="1" applyBorder="1" applyAlignment="1" applyProtection="1">
      <alignment vertical="center"/>
      <protection locked="0"/>
    </xf>
    <xf numFmtId="0" fontId="29" fillId="4" borderId="55" xfId="0" applyFont="1" applyFill="1" applyBorder="1" applyAlignment="1" applyProtection="1">
      <alignment vertical="center"/>
      <protection locked="0"/>
    </xf>
    <xf numFmtId="0" fontId="29" fillId="4" borderId="5" xfId="0" applyFont="1" applyFill="1" applyBorder="1" applyAlignment="1" applyProtection="1">
      <alignment vertical="center"/>
      <protection locked="0"/>
    </xf>
    <xf numFmtId="1" fontId="29" fillId="4" borderId="47" xfId="0" applyNumberFormat="1" applyFont="1" applyFill="1" applyBorder="1" applyAlignment="1" applyProtection="1">
      <alignment vertical="center"/>
      <protection locked="0"/>
    </xf>
    <xf numFmtId="0" fontId="29" fillId="0" borderId="76" xfId="0" applyFont="1" applyBorder="1" applyAlignment="1">
      <alignment vertical="center"/>
    </xf>
    <xf numFmtId="0" fontId="29" fillId="4" borderId="37" xfId="0" applyFont="1" applyFill="1" applyBorder="1" applyAlignment="1" applyProtection="1">
      <alignment horizontal="center" vertical="center" wrapText="1"/>
      <protection locked="0"/>
    </xf>
    <xf numFmtId="1" fontId="36" fillId="4" borderId="51" xfId="0" applyNumberFormat="1" applyFont="1" applyFill="1" applyBorder="1" applyAlignment="1" applyProtection="1">
      <alignment vertical="center"/>
      <protection locked="0"/>
    </xf>
    <xf numFmtId="1" fontId="36" fillId="4" borderId="52" xfId="0" applyNumberFormat="1" applyFont="1" applyFill="1" applyBorder="1" applyAlignment="1" applyProtection="1">
      <alignment vertical="center"/>
      <protection locked="0"/>
    </xf>
    <xf numFmtId="170" fontId="36" fillId="4" borderId="32" xfId="0" applyNumberFormat="1" applyFont="1" applyFill="1" applyBorder="1" applyAlignment="1" applyProtection="1">
      <alignment vertical="center"/>
      <protection locked="0"/>
    </xf>
    <xf numFmtId="1" fontId="36" fillId="4" borderId="53" xfId="0" applyNumberFormat="1" applyFont="1" applyFill="1" applyBorder="1" applyAlignment="1" applyProtection="1">
      <alignment vertical="center"/>
      <protection locked="0"/>
    </xf>
    <xf numFmtId="167" fontId="40" fillId="4" borderId="43" xfId="0" applyNumberFormat="1" applyFont="1" applyFill="1" applyBorder="1" applyAlignment="1" applyProtection="1">
      <alignment vertical="center"/>
      <protection locked="0"/>
    </xf>
    <xf numFmtId="1" fontId="41" fillId="4" borderId="58" xfId="0" applyNumberFormat="1" applyFont="1" applyFill="1" applyBorder="1" applyAlignment="1" applyProtection="1">
      <alignment vertical="center"/>
      <protection locked="0"/>
    </xf>
    <xf numFmtId="0" fontId="36" fillId="4" borderId="33" xfId="0" applyFont="1" applyFill="1" applyBorder="1" applyAlignment="1" applyProtection="1">
      <alignment vertical="center"/>
      <protection locked="0"/>
    </xf>
    <xf numFmtId="167" fontId="36" fillId="4" borderId="23" xfId="0" applyNumberFormat="1" applyFont="1" applyFill="1" applyBorder="1" applyAlignment="1" applyProtection="1">
      <alignment vertical="center"/>
      <protection locked="0"/>
    </xf>
    <xf numFmtId="1" fontId="36" fillId="4" borderId="45" xfId="0" applyNumberFormat="1" applyFont="1" applyFill="1" applyBorder="1" applyAlignment="1" applyProtection="1">
      <alignment vertical="center"/>
      <protection locked="0"/>
    </xf>
    <xf numFmtId="0" fontId="36" fillId="4" borderId="34" xfId="0" applyFont="1" applyFill="1" applyBorder="1" applyAlignment="1" applyProtection="1">
      <alignment vertical="center"/>
      <protection locked="0"/>
    </xf>
    <xf numFmtId="1" fontId="36" fillId="4" borderId="40" xfId="0" applyNumberFormat="1" applyFont="1" applyFill="1" applyBorder="1" applyAlignment="1" applyProtection="1">
      <alignment vertical="center"/>
      <protection locked="0"/>
    </xf>
    <xf numFmtId="0" fontId="36" fillId="4" borderId="35" xfId="0" applyFont="1" applyFill="1" applyBorder="1" applyAlignment="1" applyProtection="1">
      <alignment vertical="center"/>
      <protection locked="0"/>
    </xf>
    <xf numFmtId="167" fontId="36" fillId="4" borderId="36" xfId="0" applyNumberFormat="1" applyFont="1" applyFill="1" applyBorder="1" applyAlignment="1" applyProtection="1">
      <alignment vertical="center"/>
      <protection locked="0"/>
    </xf>
    <xf numFmtId="1" fontId="36" fillId="4" borderId="54" xfId="0" applyNumberFormat="1" applyFont="1" applyFill="1" applyBorder="1" applyAlignment="1" applyProtection="1">
      <alignment vertical="center"/>
      <protection locked="0"/>
    </xf>
    <xf numFmtId="1" fontId="41" fillId="4" borderId="55" xfId="0" applyNumberFormat="1" applyFont="1" applyFill="1" applyBorder="1" applyAlignment="1" applyProtection="1">
      <alignment vertical="center"/>
      <protection locked="0"/>
    </xf>
    <xf numFmtId="1" fontId="41" fillId="4" borderId="32" xfId="0" applyNumberFormat="1" applyFont="1" applyFill="1" applyBorder="1" applyAlignment="1" applyProtection="1">
      <alignment vertical="center"/>
      <protection locked="0"/>
    </xf>
    <xf numFmtId="0" fontId="29" fillId="4" borderId="90" xfId="0" applyFont="1" applyFill="1" applyBorder="1" applyAlignment="1" applyProtection="1">
      <alignment vertical="center"/>
      <protection locked="0"/>
    </xf>
    <xf numFmtId="0" fontId="29" fillId="4" borderId="91" xfId="0" applyFont="1" applyFill="1" applyBorder="1" applyAlignment="1" applyProtection="1">
      <alignment vertical="center"/>
      <protection locked="0"/>
    </xf>
    <xf numFmtId="0" fontId="29" fillId="4" borderId="1" xfId="0" applyFont="1" applyFill="1" applyBorder="1" applyAlignment="1" applyProtection="1">
      <alignment vertical="center"/>
      <protection locked="0"/>
    </xf>
    <xf numFmtId="0" fontId="29" fillId="0" borderId="23" xfId="0" applyFont="1" applyBorder="1" applyAlignment="1">
      <alignment vertical="center"/>
    </xf>
    <xf numFmtId="1" fontId="29" fillId="12" borderId="23" xfId="0" applyNumberFormat="1" applyFont="1" applyFill="1" applyBorder="1" applyAlignment="1">
      <alignment vertical="center"/>
    </xf>
    <xf numFmtId="42" fontId="10" fillId="0" borderId="0" xfId="0" applyNumberFormat="1" applyFont="1"/>
    <xf numFmtId="0" fontId="43" fillId="4" borderId="18" xfId="0" applyFont="1" applyFill="1" applyBorder="1"/>
    <xf numFmtId="0" fontId="10" fillId="4" borderId="19" xfId="0" applyFont="1" applyFill="1" applyBorder="1"/>
    <xf numFmtId="42" fontId="10" fillId="4" borderId="19" xfId="0" applyNumberFormat="1" applyFont="1" applyFill="1" applyBorder="1"/>
    <xf numFmtId="1" fontId="10" fillId="4" borderId="19" xfId="0" applyNumberFormat="1" applyFont="1" applyFill="1" applyBorder="1"/>
    <xf numFmtId="0" fontId="10" fillId="4" borderId="43" xfId="0" applyFont="1" applyFill="1" applyBorder="1"/>
    <xf numFmtId="0" fontId="10" fillId="4" borderId="56" xfId="0" applyFont="1" applyFill="1" applyBorder="1"/>
    <xf numFmtId="0" fontId="43" fillId="4" borderId="18" xfId="0" applyFont="1" applyFill="1" applyBorder="1" applyAlignment="1">
      <alignment vertical="center"/>
    </xf>
    <xf numFmtId="0" fontId="43" fillId="4" borderId="19" xfId="0" applyFont="1" applyFill="1" applyBorder="1" applyAlignment="1">
      <alignment vertical="center"/>
    </xf>
    <xf numFmtId="42" fontId="10" fillId="4" borderId="19" xfId="0" applyNumberFormat="1" applyFont="1" applyFill="1" applyBorder="1" applyAlignment="1">
      <alignment vertical="center"/>
    </xf>
    <xf numFmtId="0" fontId="10" fillId="4" borderId="19" xfId="0" applyFont="1" applyFill="1" applyBorder="1" applyAlignment="1">
      <alignment vertical="center"/>
    </xf>
    <xf numFmtId="0" fontId="10" fillId="4" borderId="43" xfId="0" applyFont="1" applyFill="1" applyBorder="1" applyAlignment="1">
      <alignment vertical="center"/>
    </xf>
    <xf numFmtId="0" fontId="10" fillId="4" borderId="56" xfId="0" applyFont="1" applyFill="1" applyBorder="1" applyAlignment="1">
      <alignment vertical="center"/>
    </xf>
    <xf numFmtId="0" fontId="43" fillId="4" borderId="20" xfId="0" applyFont="1" applyFill="1" applyBorder="1"/>
    <xf numFmtId="0" fontId="43" fillId="4" borderId="0" xfId="0" applyFont="1" applyFill="1"/>
    <xf numFmtId="42" fontId="43" fillId="4" borderId="0" xfId="0" applyNumberFormat="1" applyFont="1" applyFill="1"/>
    <xf numFmtId="0" fontId="10" fillId="4" borderId="0" xfId="0" applyFont="1" applyFill="1"/>
    <xf numFmtId="0" fontId="10" fillId="4" borderId="1" xfId="0" applyFont="1" applyFill="1" applyBorder="1"/>
    <xf numFmtId="0" fontId="10" fillId="4" borderId="39" xfId="0" applyFont="1" applyFill="1" applyBorder="1"/>
    <xf numFmtId="0" fontId="10" fillId="17" borderId="0" xfId="0" applyFont="1" applyFill="1"/>
    <xf numFmtId="42" fontId="10" fillId="4" borderId="0" xfId="0" applyNumberFormat="1" applyFont="1" applyFill="1"/>
    <xf numFmtId="41" fontId="10" fillId="10" borderId="0" xfId="0" applyNumberFormat="1" applyFont="1" applyFill="1"/>
    <xf numFmtId="41" fontId="10" fillId="0" borderId="0" xfId="0" applyNumberFormat="1" applyFont="1"/>
    <xf numFmtId="41" fontId="10" fillId="0" borderId="1" xfId="0" applyNumberFormat="1" applyFont="1" applyBorder="1"/>
    <xf numFmtId="41" fontId="10" fillId="0" borderId="39" xfId="0" applyNumberFormat="1" applyFont="1" applyBorder="1"/>
    <xf numFmtId="41" fontId="10" fillId="10" borderId="0" xfId="3" applyNumberFormat="1" applyFont="1" applyFill="1" applyBorder="1" applyProtection="1"/>
    <xf numFmtId="41" fontId="10" fillId="0" borderId="0" xfId="3" applyNumberFormat="1" applyFont="1" applyFill="1" applyBorder="1" applyProtection="1"/>
    <xf numFmtId="41" fontId="10" fillId="0" borderId="1" xfId="3" applyNumberFormat="1" applyFont="1" applyFill="1" applyBorder="1" applyProtection="1"/>
    <xf numFmtId="41" fontId="10" fillId="0" borderId="39" xfId="3" applyNumberFormat="1" applyFont="1" applyFill="1" applyBorder="1" applyProtection="1"/>
    <xf numFmtId="41" fontId="10" fillId="10" borderId="1" xfId="3" applyNumberFormat="1" applyFont="1" applyFill="1" applyBorder="1" applyProtection="1"/>
    <xf numFmtId="41" fontId="10" fillId="17" borderId="1" xfId="3" applyNumberFormat="1" applyFont="1" applyFill="1" applyBorder="1" applyProtection="1"/>
    <xf numFmtId="41" fontId="10" fillId="17" borderId="0" xfId="3" applyNumberFormat="1" applyFont="1" applyFill="1" applyBorder="1" applyProtection="1"/>
    <xf numFmtId="165" fontId="10" fillId="0" borderId="0" xfId="3" applyNumberFormat="1" applyFont="1" applyFill="1" applyBorder="1" applyProtection="1"/>
    <xf numFmtId="165" fontId="10" fillId="0" borderId="1" xfId="3" applyNumberFormat="1" applyFont="1" applyFill="1" applyBorder="1" applyProtection="1"/>
    <xf numFmtId="165" fontId="10" fillId="0" borderId="39" xfId="3" applyNumberFormat="1" applyFont="1" applyFill="1" applyBorder="1" applyProtection="1"/>
    <xf numFmtId="0" fontId="10" fillId="17" borderId="44" xfId="0" applyFont="1" applyFill="1" applyBorder="1"/>
    <xf numFmtId="41" fontId="10" fillId="10" borderId="44" xfId="3" applyNumberFormat="1" applyFont="1" applyFill="1" applyBorder="1" applyProtection="1"/>
    <xf numFmtId="41" fontId="10" fillId="10" borderId="22" xfId="3" applyNumberFormat="1" applyFont="1" applyFill="1" applyBorder="1" applyProtection="1"/>
    <xf numFmtId="41" fontId="10" fillId="10" borderId="50" xfId="3" applyNumberFormat="1" applyFont="1" applyFill="1" applyBorder="1" applyProtection="1"/>
    <xf numFmtId="0" fontId="34" fillId="4" borderId="59" xfId="0" applyFont="1" applyFill="1" applyBorder="1"/>
    <xf numFmtId="165" fontId="34" fillId="4" borderId="59" xfId="0" applyNumberFormat="1" applyFont="1" applyFill="1" applyBorder="1"/>
    <xf numFmtId="42" fontId="34" fillId="4" borderId="59" xfId="0" applyNumberFormat="1" applyFont="1" applyFill="1" applyBorder="1"/>
    <xf numFmtId="165" fontId="34" fillId="4" borderId="23" xfId="0" applyNumberFormat="1" applyFont="1" applyFill="1" applyBorder="1"/>
    <xf numFmtId="165" fontId="34" fillId="4" borderId="33" xfId="0" applyNumberFormat="1" applyFont="1" applyFill="1" applyBorder="1"/>
    <xf numFmtId="165" fontId="10" fillId="10" borderId="0" xfId="3" applyNumberFormat="1" applyFont="1" applyFill="1" applyBorder="1" applyProtection="1"/>
    <xf numFmtId="165" fontId="10" fillId="10" borderId="1" xfId="3" applyNumberFormat="1" applyFont="1" applyFill="1" applyBorder="1" applyProtection="1"/>
    <xf numFmtId="165" fontId="10" fillId="10" borderId="39" xfId="3" applyNumberFormat="1" applyFont="1" applyFill="1" applyBorder="1" applyProtection="1"/>
    <xf numFmtId="0" fontId="10" fillId="0" borderId="44" xfId="0" applyFont="1" applyBorder="1"/>
    <xf numFmtId="41" fontId="10" fillId="10" borderId="39" xfId="3" applyNumberFormat="1" applyFont="1" applyFill="1" applyBorder="1" applyProtection="1"/>
    <xf numFmtId="0" fontId="34" fillId="4" borderId="61" xfId="0" applyFont="1" applyFill="1" applyBorder="1"/>
    <xf numFmtId="42" fontId="34" fillId="4" borderId="61" xfId="0" applyNumberFormat="1" applyFont="1" applyFill="1" applyBorder="1"/>
    <xf numFmtId="165" fontId="34" fillId="4" borderId="46" xfId="0" applyNumberFormat="1" applyFont="1" applyFill="1" applyBorder="1"/>
    <xf numFmtId="165" fontId="34" fillId="4" borderId="21" xfId="0" applyNumberFormat="1" applyFont="1" applyFill="1" applyBorder="1"/>
    <xf numFmtId="165" fontId="34" fillId="4" borderId="34" xfId="0" applyNumberFormat="1" applyFont="1" applyFill="1" applyBorder="1"/>
    <xf numFmtId="0" fontId="44" fillId="4" borderId="0" xfId="0" applyFont="1" applyFill="1"/>
    <xf numFmtId="42" fontId="35" fillId="4" borderId="0" xfId="0" applyNumberFormat="1" applyFont="1" applyFill="1"/>
    <xf numFmtId="165" fontId="35" fillId="4" borderId="2" xfId="0" applyNumberFormat="1" applyFont="1" applyFill="1" applyBorder="1"/>
    <xf numFmtId="165" fontId="35" fillId="4" borderId="60" xfId="0" applyNumberFormat="1" applyFont="1" applyFill="1" applyBorder="1"/>
    <xf numFmtId="165" fontId="35" fillId="4" borderId="98" xfId="0" applyNumberFormat="1" applyFont="1" applyFill="1" applyBorder="1"/>
    <xf numFmtId="0" fontId="10" fillId="0" borderId="20" xfId="0" applyFont="1" applyBorder="1"/>
    <xf numFmtId="165" fontId="10" fillId="0" borderId="0" xfId="3" applyNumberFormat="1" applyFont="1" applyBorder="1" applyProtection="1"/>
    <xf numFmtId="165" fontId="10" fillId="0" borderId="1" xfId="3" applyNumberFormat="1" applyFont="1" applyBorder="1" applyProtection="1"/>
    <xf numFmtId="165" fontId="10" fillId="0" borderId="39" xfId="3" applyNumberFormat="1" applyFont="1" applyBorder="1" applyProtection="1"/>
    <xf numFmtId="165" fontId="10" fillId="4" borderId="0" xfId="3" applyNumberFormat="1" applyFont="1" applyFill="1" applyBorder="1" applyProtection="1"/>
    <xf numFmtId="165" fontId="10" fillId="4" borderId="1" xfId="3" applyNumberFormat="1" applyFont="1" applyFill="1" applyBorder="1" applyProtection="1"/>
    <xf numFmtId="165" fontId="10" fillId="4" borderId="39" xfId="3" applyNumberFormat="1" applyFont="1" applyFill="1" applyBorder="1" applyProtection="1"/>
    <xf numFmtId="0" fontId="34" fillId="0" borderId="0" xfId="0" applyFont="1"/>
    <xf numFmtId="41" fontId="10" fillId="10" borderId="1" xfId="0" applyNumberFormat="1" applyFont="1" applyFill="1" applyBorder="1"/>
    <xf numFmtId="41" fontId="10" fillId="10" borderId="39" xfId="0" applyNumberFormat="1" applyFont="1" applyFill="1" applyBorder="1"/>
    <xf numFmtId="42" fontId="34" fillId="4" borderId="46" xfId="0" applyNumberFormat="1" applyFont="1" applyFill="1" applyBorder="1"/>
    <xf numFmtId="0" fontId="44" fillId="4" borderId="4" xfId="0" applyFont="1" applyFill="1" applyBorder="1"/>
    <xf numFmtId="42" fontId="35" fillId="4" borderId="62" xfId="0" applyNumberFormat="1" applyFont="1" applyFill="1" applyBorder="1"/>
    <xf numFmtId="165" fontId="35" fillId="4" borderId="62" xfId="0" applyNumberFormat="1" applyFont="1" applyFill="1" applyBorder="1"/>
    <xf numFmtId="165" fontId="35" fillId="4" borderId="63" xfId="0" applyNumberFormat="1" applyFont="1" applyFill="1" applyBorder="1"/>
    <xf numFmtId="165" fontId="35" fillId="4" borderId="99" xfId="0" applyNumberFormat="1" applyFont="1" applyFill="1" applyBorder="1"/>
    <xf numFmtId="0" fontId="45" fillId="0" borderId="20" xfId="0" applyFont="1" applyBorder="1"/>
    <xf numFmtId="0" fontId="45" fillId="0" borderId="0" xfId="0" applyFont="1"/>
    <xf numFmtId="42" fontId="34" fillId="0" borderId="0" xfId="0" applyNumberFormat="1" applyFont="1"/>
    <xf numFmtId="0" fontId="27" fillId="0" borderId="20" xfId="0" applyFont="1" applyBorder="1"/>
    <xf numFmtId="0" fontId="46" fillId="10" borderId="14" xfId="0" applyFont="1" applyFill="1" applyBorder="1"/>
    <xf numFmtId="0" fontId="45" fillId="10" borderId="3" xfId="0" applyFont="1" applyFill="1" applyBorder="1"/>
    <xf numFmtId="42" fontId="34" fillId="10" borderId="3" xfId="0" applyNumberFormat="1" applyFont="1" applyFill="1" applyBorder="1"/>
    <xf numFmtId="165" fontId="10" fillId="10" borderId="3" xfId="3" applyNumberFormat="1" applyFont="1" applyFill="1" applyBorder="1" applyProtection="1"/>
    <xf numFmtId="165" fontId="10" fillId="10" borderId="41" xfId="3" applyNumberFormat="1" applyFont="1" applyFill="1" applyBorder="1" applyProtection="1"/>
    <xf numFmtId="165" fontId="10" fillId="10" borderId="97" xfId="3" applyNumberFormat="1" applyFont="1" applyFill="1" applyBorder="1" applyProtection="1"/>
    <xf numFmtId="0" fontId="46" fillId="10" borderId="37" xfId="0" applyFont="1" applyFill="1" applyBorder="1"/>
    <xf numFmtId="0" fontId="45" fillId="10" borderId="4" xfId="0" applyFont="1" applyFill="1" applyBorder="1"/>
    <xf numFmtId="42" fontId="34" fillId="10" borderId="4" xfId="0" applyNumberFormat="1" applyFont="1" applyFill="1" applyBorder="1"/>
    <xf numFmtId="165" fontId="10" fillId="10" borderId="4" xfId="3" applyNumberFormat="1" applyFont="1" applyFill="1" applyBorder="1" applyProtection="1"/>
    <xf numFmtId="165" fontId="10" fillId="10" borderId="42" xfId="3" applyNumberFormat="1" applyFont="1" applyFill="1" applyBorder="1" applyProtection="1"/>
    <xf numFmtId="165" fontId="10" fillId="10" borderId="57" xfId="3" applyNumberFormat="1" applyFont="1" applyFill="1" applyBorder="1" applyProtection="1"/>
    <xf numFmtId="0" fontId="46" fillId="0" borderId="20" xfId="0" applyFont="1" applyBorder="1"/>
    <xf numFmtId="0" fontId="46" fillId="3" borderId="14" xfId="0" applyFont="1" applyFill="1" applyBorder="1"/>
    <xf numFmtId="0" fontId="45" fillId="3" borderId="3" xfId="0" applyFont="1" applyFill="1" applyBorder="1"/>
    <xf numFmtId="42" fontId="34" fillId="3" borderId="3" xfId="0" applyNumberFormat="1" applyFont="1" applyFill="1" applyBorder="1"/>
    <xf numFmtId="165" fontId="10" fillId="3" borderId="3" xfId="3" applyNumberFormat="1" applyFont="1" applyFill="1" applyBorder="1" applyProtection="1"/>
    <xf numFmtId="165" fontId="10" fillId="3" borderId="41" xfId="3" applyNumberFormat="1" applyFont="1" applyFill="1" applyBorder="1" applyProtection="1"/>
    <xf numFmtId="165" fontId="10" fillId="3" borderId="97" xfId="3" applyNumberFormat="1" applyFont="1" applyFill="1" applyBorder="1" applyProtection="1"/>
    <xf numFmtId="0" fontId="46" fillId="3" borderId="37" xfId="0" applyFont="1" applyFill="1" applyBorder="1"/>
    <xf numFmtId="0" fontId="45" fillId="3" borderId="4" xfId="0" applyFont="1" applyFill="1" applyBorder="1"/>
    <xf numFmtId="42" fontId="34" fillId="3" borderId="4" xfId="0" applyNumberFormat="1" applyFont="1" applyFill="1" applyBorder="1"/>
    <xf numFmtId="165" fontId="10" fillId="3" borderId="4" xfId="3" applyNumberFormat="1" applyFont="1" applyFill="1" applyBorder="1" applyProtection="1"/>
    <xf numFmtId="165" fontId="10" fillId="3" borderId="42" xfId="3" applyNumberFormat="1" applyFont="1" applyFill="1" applyBorder="1" applyProtection="1"/>
    <xf numFmtId="165" fontId="10" fillId="3" borderId="57" xfId="3" applyNumberFormat="1" applyFont="1" applyFill="1" applyBorder="1" applyProtection="1"/>
    <xf numFmtId="0" fontId="27" fillId="0" borderId="18" xfId="0" applyFont="1" applyBorder="1"/>
    <xf numFmtId="0" fontId="45" fillId="0" borderId="19" xfId="0" applyFont="1" applyBorder="1"/>
    <xf numFmtId="42" fontId="34" fillId="0" borderId="19" xfId="0" applyNumberFormat="1" applyFont="1" applyBorder="1"/>
    <xf numFmtId="174" fontId="10" fillId="0" borderId="19" xfId="0" applyNumberFormat="1" applyFont="1" applyBorder="1" applyAlignment="1">
      <alignment horizontal="right" vertical="center"/>
    </xf>
    <xf numFmtId="174" fontId="10" fillId="0" borderId="43" xfId="0" applyNumberFormat="1" applyFont="1" applyBorder="1" applyAlignment="1">
      <alignment horizontal="right" vertical="center"/>
    </xf>
    <xf numFmtId="174" fontId="10" fillId="0" borderId="56" xfId="0" applyNumberFormat="1" applyFont="1" applyBorder="1" applyAlignment="1">
      <alignment horizontal="right" vertical="center"/>
    </xf>
    <xf numFmtId="166" fontId="10" fillId="0" borderId="19" xfId="3" applyNumberFormat="1" applyFont="1" applyFill="1" applyBorder="1" applyProtection="1"/>
    <xf numFmtId="166" fontId="10" fillId="0" borderId="43" xfId="3" applyNumberFormat="1" applyFont="1" applyFill="1" applyBorder="1" applyProtection="1"/>
    <xf numFmtId="166" fontId="10" fillId="0" borderId="56" xfId="3" applyNumberFormat="1" applyFont="1" applyFill="1" applyBorder="1" applyProtection="1"/>
    <xf numFmtId="0" fontId="46" fillId="6" borderId="14" xfId="0" applyFont="1" applyFill="1" applyBorder="1"/>
    <xf numFmtId="0" fontId="45" fillId="6" borderId="3" xfId="0" applyFont="1" applyFill="1" applyBorder="1"/>
    <xf numFmtId="42" fontId="34" fillId="6" borderId="3" xfId="0" applyNumberFormat="1" applyFont="1" applyFill="1" applyBorder="1"/>
    <xf numFmtId="165" fontId="10" fillId="6" borderId="3" xfId="3" applyNumberFormat="1" applyFont="1" applyFill="1" applyBorder="1" applyProtection="1"/>
    <xf numFmtId="165" fontId="10" fillId="6" borderId="41" xfId="3" applyNumberFormat="1" applyFont="1" applyFill="1" applyBorder="1" applyProtection="1"/>
    <xf numFmtId="165" fontId="10" fillId="6" borderId="97" xfId="3" applyNumberFormat="1" applyFont="1" applyFill="1" applyBorder="1" applyProtection="1"/>
    <xf numFmtId="0" fontId="46" fillId="6" borderId="37" xfId="0" applyFont="1" applyFill="1" applyBorder="1"/>
    <xf numFmtId="0" fontId="45" fillId="6" borderId="4" xfId="0" applyFont="1" applyFill="1" applyBorder="1"/>
    <xf numFmtId="42" fontId="34" fillId="6" borderId="4" xfId="0" applyNumberFormat="1" applyFont="1" applyFill="1" applyBorder="1"/>
    <xf numFmtId="165" fontId="10" fillId="6" borderId="4" xfId="3" applyNumberFormat="1" applyFont="1" applyFill="1" applyBorder="1" applyProtection="1"/>
    <xf numFmtId="165" fontId="10" fillId="6" borderId="42" xfId="3" applyNumberFormat="1" applyFont="1" applyFill="1" applyBorder="1" applyProtection="1"/>
    <xf numFmtId="165" fontId="10" fillId="6" borderId="57" xfId="3" applyNumberFormat="1" applyFont="1" applyFill="1" applyBorder="1" applyProtection="1"/>
    <xf numFmtId="0" fontId="46" fillId="11" borderId="14" xfId="0" applyFont="1" applyFill="1" applyBorder="1"/>
    <xf numFmtId="0" fontId="45" fillId="11" borderId="3" xfId="0" applyFont="1" applyFill="1" applyBorder="1"/>
    <xf numFmtId="42" fontId="34" fillId="7" borderId="3" xfId="0" applyNumberFormat="1" applyFont="1" applyFill="1" applyBorder="1"/>
    <xf numFmtId="165" fontId="10" fillId="7" borderId="3" xfId="3" applyNumberFormat="1" applyFont="1" applyFill="1" applyBorder="1" applyProtection="1"/>
    <xf numFmtId="165" fontId="10" fillId="7" borderId="41" xfId="3" applyNumberFormat="1" applyFont="1" applyFill="1" applyBorder="1" applyProtection="1"/>
    <xf numFmtId="165" fontId="10" fillId="7" borderId="97" xfId="3" applyNumberFormat="1" applyFont="1" applyFill="1" applyBorder="1" applyProtection="1"/>
    <xf numFmtId="0" fontId="46" fillId="11" borderId="20" xfId="0" applyFont="1" applyFill="1" applyBorder="1"/>
    <xf numFmtId="0" fontId="45" fillId="11" borderId="0" xfId="0" applyFont="1" applyFill="1"/>
    <xf numFmtId="42" fontId="34" fillId="7" borderId="0" xfId="0" applyNumberFormat="1" applyFont="1" applyFill="1"/>
    <xf numFmtId="165" fontId="10" fillId="7" borderId="0" xfId="3" applyNumberFormat="1" applyFont="1" applyFill="1" applyBorder="1" applyProtection="1"/>
    <xf numFmtId="165" fontId="10" fillId="7" borderId="1" xfId="3" applyNumberFormat="1" applyFont="1" applyFill="1" applyBorder="1" applyProtection="1"/>
    <xf numFmtId="165" fontId="10" fillId="7" borderId="39" xfId="3" applyNumberFormat="1" applyFont="1" applyFill="1" applyBorder="1" applyProtection="1"/>
    <xf numFmtId="0" fontId="45" fillId="11" borderId="0" xfId="0" applyFont="1" applyFill="1" applyAlignment="1">
      <alignment wrapText="1"/>
    </xf>
    <xf numFmtId="42" fontId="34" fillId="7" borderId="4" xfId="0" applyNumberFormat="1" applyFont="1" applyFill="1" applyBorder="1"/>
    <xf numFmtId="165" fontId="10" fillId="7" borderId="4" xfId="3" applyNumberFormat="1" applyFont="1" applyFill="1" applyBorder="1" applyProtection="1"/>
    <xf numFmtId="165" fontId="10" fillId="7" borderId="42" xfId="3" applyNumberFormat="1" applyFont="1" applyFill="1" applyBorder="1" applyProtection="1"/>
    <xf numFmtId="165" fontId="10" fillId="7" borderId="57" xfId="3" applyNumberFormat="1" applyFont="1" applyFill="1" applyBorder="1" applyProtection="1"/>
    <xf numFmtId="0" fontId="46" fillId="7" borderId="14" xfId="0" applyFont="1" applyFill="1" applyBorder="1"/>
    <xf numFmtId="0" fontId="45" fillId="7" borderId="3" xfId="0" applyFont="1" applyFill="1" applyBorder="1"/>
    <xf numFmtId="0" fontId="46" fillId="7" borderId="37" xfId="0" applyFont="1" applyFill="1" applyBorder="1"/>
    <xf numFmtId="0" fontId="45" fillId="7" borderId="4" xfId="0" applyFont="1" applyFill="1" applyBorder="1"/>
    <xf numFmtId="165" fontId="10" fillId="0" borderId="0" xfId="3" applyNumberFormat="1" applyFont="1" applyProtection="1"/>
    <xf numFmtId="9" fontId="10" fillId="0" borderId="0" xfId="0" applyNumberFormat="1" applyFont="1"/>
    <xf numFmtId="0" fontId="10" fillId="0" borderId="1" xfId="0" applyFont="1" applyBorder="1"/>
    <xf numFmtId="0" fontId="10" fillId="0" borderId="39" xfId="0" applyFont="1" applyBorder="1"/>
    <xf numFmtId="2" fontId="27" fillId="0" borderId="0" xfId="0" applyNumberFormat="1" applyFont="1"/>
    <xf numFmtId="10" fontId="10" fillId="0" borderId="0" xfId="0" applyNumberFormat="1" applyFont="1"/>
    <xf numFmtId="0" fontId="46" fillId="15" borderId="18" xfId="0" applyFont="1" applyFill="1" applyBorder="1"/>
    <xf numFmtId="0" fontId="45" fillId="15" borderId="19" xfId="0" applyFont="1" applyFill="1" applyBorder="1"/>
    <xf numFmtId="42" fontId="34" fillId="15" borderId="19" xfId="0" applyNumberFormat="1" applyFont="1" applyFill="1" applyBorder="1"/>
    <xf numFmtId="165" fontId="10" fillId="15" borderId="19" xfId="3" applyNumberFormat="1" applyFont="1" applyFill="1" applyBorder="1" applyProtection="1"/>
    <xf numFmtId="165" fontId="10" fillId="15" borderId="43" xfId="3" applyNumberFormat="1" applyFont="1" applyFill="1" applyBorder="1" applyProtection="1"/>
    <xf numFmtId="165" fontId="10" fillId="15" borderId="56" xfId="3" applyNumberFormat="1" applyFont="1" applyFill="1" applyBorder="1" applyProtection="1"/>
    <xf numFmtId="0" fontId="27" fillId="4" borderId="23" xfId="0" applyFont="1" applyFill="1" applyBorder="1" applyAlignment="1">
      <alignment horizontal="right" vertical="top"/>
    </xf>
    <xf numFmtId="0" fontId="27" fillId="5" borderId="23" xfId="0" applyFont="1" applyFill="1" applyBorder="1" applyAlignment="1">
      <alignment horizontal="right" vertical="top"/>
    </xf>
    <xf numFmtId="0" fontId="10" fillId="4" borderId="38" xfId="0" applyFont="1" applyFill="1" applyBorder="1" applyAlignment="1">
      <alignment horizontal="left"/>
    </xf>
    <xf numFmtId="0" fontId="10" fillId="4" borderId="0" xfId="0" applyFont="1" applyFill="1" applyAlignment="1">
      <alignment horizontal="left"/>
    </xf>
    <xf numFmtId="42" fontId="10" fillId="10" borderId="1" xfId="3" applyNumberFormat="1" applyFont="1" applyFill="1" applyBorder="1" applyAlignment="1" applyProtection="1"/>
    <xf numFmtId="42" fontId="10" fillId="5" borderId="1" xfId="0" applyNumberFormat="1" applyFont="1" applyFill="1" applyBorder="1"/>
    <xf numFmtId="0" fontId="10" fillId="4" borderId="49" xfId="0" applyFont="1" applyFill="1" applyBorder="1" applyAlignment="1">
      <alignment horizontal="left"/>
    </xf>
    <xf numFmtId="0" fontId="10" fillId="4" borderId="44" xfId="0" applyFont="1" applyFill="1" applyBorder="1" applyAlignment="1">
      <alignment horizontal="left"/>
    </xf>
    <xf numFmtId="42" fontId="10" fillId="10" borderId="22" xfId="0" applyNumberFormat="1" applyFont="1" applyFill="1" applyBorder="1" applyAlignment="1">
      <alignment horizontal="right"/>
    </xf>
    <xf numFmtId="42" fontId="10" fillId="5" borderId="22" xfId="0" applyNumberFormat="1" applyFont="1" applyFill="1" applyBorder="1"/>
    <xf numFmtId="0" fontId="27" fillId="4" borderId="45" xfId="0" applyFont="1" applyFill="1" applyBorder="1" applyAlignment="1">
      <alignment horizontal="left"/>
    </xf>
    <xf numFmtId="0" fontId="10" fillId="4" borderId="59" xfId="0" applyFont="1" applyFill="1" applyBorder="1" applyAlignment="1">
      <alignment horizontal="left"/>
    </xf>
    <xf numFmtId="0" fontId="10" fillId="0" borderId="23" xfId="0" applyFont="1" applyBorder="1" applyAlignment="1">
      <alignment horizontal="center"/>
    </xf>
    <xf numFmtId="0" fontId="10" fillId="26" borderId="21" xfId="0" applyFont="1" applyFill="1" applyBorder="1" applyAlignment="1">
      <alignment horizontal="center"/>
    </xf>
    <xf numFmtId="0" fontId="10" fillId="24" borderId="21" xfId="0" applyFont="1" applyFill="1" applyBorder="1" applyAlignment="1">
      <alignment horizontal="center"/>
    </xf>
    <xf numFmtId="0" fontId="10" fillId="19" borderId="21" xfId="0" applyFont="1" applyFill="1" applyBorder="1" applyAlignment="1">
      <alignment horizontal="center"/>
    </xf>
    <xf numFmtId="0" fontId="10" fillId="20" borderId="21" xfId="0" applyFont="1" applyFill="1" applyBorder="1" applyAlignment="1">
      <alignment horizontal="center"/>
    </xf>
    <xf numFmtId="0" fontId="27" fillId="5" borderId="39" xfId="0" applyFont="1" applyFill="1" applyBorder="1" applyAlignment="1">
      <alignment horizontal="center"/>
    </xf>
    <xf numFmtId="9" fontId="10" fillId="18" borderId="23" xfId="0" applyNumberFormat="1" applyFont="1" applyFill="1" applyBorder="1" applyAlignment="1">
      <alignment horizontal="center"/>
    </xf>
    <xf numFmtId="9" fontId="10" fillId="26" borderId="22" xfId="0" applyNumberFormat="1" applyFont="1" applyFill="1" applyBorder="1" applyAlignment="1">
      <alignment horizontal="center"/>
    </xf>
    <xf numFmtId="9" fontId="10" fillId="24" borderId="22" xfId="0" applyNumberFormat="1" applyFont="1" applyFill="1" applyBorder="1" applyAlignment="1">
      <alignment horizontal="center"/>
    </xf>
    <xf numFmtId="9" fontId="10" fillId="19" borderId="22" xfId="0" applyNumberFormat="1" applyFont="1" applyFill="1" applyBorder="1" applyAlignment="1">
      <alignment horizontal="center"/>
    </xf>
    <xf numFmtId="9" fontId="10" fillId="20" borderId="22" xfId="0" applyNumberFormat="1" applyFont="1" applyFill="1" applyBorder="1" applyAlignment="1">
      <alignment horizontal="center"/>
    </xf>
    <xf numFmtId="9" fontId="27" fillId="5" borderId="50" xfId="0" applyNumberFormat="1" applyFont="1" applyFill="1" applyBorder="1" applyAlignment="1">
      <alignment horizontal="center"/>
    </xf>
    <xf numFmtId="0" fontId="27" fillId="0" borderId="0" xfId="0" applyFont="1"/>
    <xf numFmtId="0" fontId="10" fillId="0" borderId="0" xfId="0" applyFont="1" applyAlignment="1">
      <alignment wrapText="1"/>
    </xf>
    <xf numFmtId="7" fontId="10" fillId="0" borderId="0" xfId="0" applyNumberFormat="1" applyFont="1"/>
    <xf numFmtId="0" fontId="27" fillId="10" borderId="0" xfId="0" applyFont="1" applyFill="1" applyAlignment="1">
      <alignment horizontal="left" vertical="center"/>
    </xf>
    <xf numFmtId="0" fontId="10" fillId="10" borderId="0" xfId="0" applyFont="1" applyFill="1" applyAlignment="1">
      <alignment vertical="center"/>
    </xf>
    <xf numFmtId="0" fontId="10" fillId="0" borderId="5" xfId="0" applyFont="1" applyBorder="1" applyAlignment="1">
      <alignment horizontal="left" vertical="center"/>
    </xf>
    <xf numFmtId="0" fontId="10" fillId="0" borderId="18" xfId="0" applyFont="1" applyBorder="1" applyAlignment="1">
      <alignment horizontal="left" vertical="center" wrapText="1"/>
    </xf>
    <xf numFmtId="0" fontId="10" fillId="0" borderId="47" xfId="0" applyFont="1" applyBorder="1" applyAlignment="1">
      <alignment horizontal="left" vertical="center" wrapText="1"/>
    </xf>
    <xf numFmtId="44" fontId="10" fillId="0" borderId="0" xfId="0" applyNumberFormat="1" applyFont="1"/>
    <xf numFmtId="42" fontId="10" fillId="0" borderId="0" xfId="0" applyNumberFormat="1" applyFont="1" applyAlignment="1">
      <alignment wrapText="1"/>
    </xf>
    <xf numFmtId="44" fontId="27" fillId="4" borderId="23" xfId="0" applyNumberFormat="1" applyFont="1" applyFill="1" applyBorder="1" applyAlignment="1">
      <alignment horizontal="right" vertical="center" wrapText="1"/>
    </xf>
    <xf numFmtId="42" fontId="27" fillId="4" borderId="23" xfId="0" applyNumberFormat="1" applyFont="1" applyFill="1" applyBorder="1" applyAlignment="1">
      <alignment horizontal="right" vertical="center"/>
    </xf>
    <xf numFmtId="42" fontId="27" fillId="4" borderId="23" xfId="0" applyNumberFormat="1" applyFont="1" applyFill="1" applyBorder="1" applyAlignment="1">
      <alignment horizontal="right" vertical="center" wrapText="1"/>
    </xf>
    <xf numFmtId="0" fontId="27" fillId="4" borderId="23" xfId="0" applyFont="1" applyFill="1" applyBorder="1" applyAlignment="1">
      <alignment horizontal="left" vertical="center"/>
    </xf>
    <xf numFmtId="44" fontId="27" fillId="4" borderId="23" xfId="0" applyNumberFormat="1" applyFont="1" applyFill="1" applyBorder="1" applyAlignment="1">
      <alignment vertical="center" wrapText="1"/>
    </xf>
    <xf numFmtId="42" fontId="27" fillId="4" borderId="23" xfId="0" applyNumberFormat="1" applyFont="1" applyFill="1" applyBorder="1" applyAlignment="1">
      <alignment vertical="center" wrapText="1"/>
    </xf>
    <xf numFmtId="0" fontId="27" fillId="4" borderId="23" xfId="0" applyFont="1" applyFill="1" applyBorder="1" applyAlignment="1">
      <alignment horizontal="left" vertical="center" wrapText="1"/>
    </xf>
    <xf numFmtId="44" fontId="10" fillId="0" borderId="23" xfId="0" applyNumberFormat="1" applyFont="1" applyBorder="1" applyAlignment="1">
      <alignment horizontal="center" vertical="center"/>
    </xf>
    <xf numFmtId="0" fontId="33" fillId="0" borderId="23" xfId="13" applyFont="1" applyBorder="1" applyAlignment="1" applyProtection="1">
      <alignment vertical="center" wrapText="1"/>
    </xf>
    <xf numFmtId="44" fontId="10" fillId="0" borderId="23" xfId="0" applyNumberFormat="1" applyFont="1" applyBorder="1" applyAlignment="1">
      <alignment vertical="center"/>
    </xf>
    <xf numFmtId="42" fontId="10" fillId="0" borderId="23" xfId="0" applyNumberFormat="1" applyFont="1" applyBorder="1" applyAlignment="1">
      <alignment vertical="center"/>
    </xf>
    <xf numFmtId="42" fontId="10" fillId="17" borderId="23" xfId="0" applyNumberFormat="1" applyFont="1" applyFill="1" applyBorder="1" applyAlignment="1">
      <alignment vertical="center" wrapText="1"/>
    </xf>
    <xf numFmtId="44" fontId="10" fillId="0" borderId="0" xfId="0" applyNumberFormat="1" applyFont="1" applyAlignment="1">
      <alignment horizontal="center" vertical="center"/>
    </xf>
    <xf numFmtId="0" fontId="27" fillId="4" borderId="40" xfId="0" applyFont="1" applyFill="1" applyBorder="1"/>
    <xf numFmtId="0" fontId="10" fillId="4" borderId="46" xfId="0" applyFont="1" applyFill="1" applyBorder="1"/>
    <xf numFmtId="0" fontId="10" fillId="4" borderId="34" xfId="0" applyFont="1" applyFill="1" applyBorder="1" applyAlignment="1">
      <alignment vertical="center" wrapText="1"/>
    </xf>
    <xf numFmtId="44" fontId="27" fillId="4" borderId="23" xfId="0" applyNumberFormat="1" applyFont="1" applyFill="1" applyBorder="1" applyAlignment="1">
      <alignment vertical="center"/>
    </xf>
    <xf numFmtId="42" fontId="27" fillId="0" borderId="0" xfId="0" applyNumberFormat="1" applyFont="1" applyAlignment="1">
      <alignment vertical="center" wrapText="1"/>
    </xf>
    <xf numFmtId="0" fontId="10" fillId="10" borderId="40" xfId="0" applyFont="1" applyFill="1" applyBorder="1"/>
    <xf numFmtId="0" fontId="10" fillId="10" borderId="46" xfId="0" applyFont="1" applyFill="1" applyBorder="1"/>
    <xf numFmtId="0" fontId="10" fillId="10" borderId="34" xfId="0" applyFont="1" applyFill="1" applyBorder="1" applyAlignment="1">
      <alignment vertical="center" wrapText="1"/>
    </xf>
    <xf numFmtId="0" fontId="10" fillId="0" borderId="21" xfId="0" applyFont="1" applyBorder="1" applyAlignment="1">
      <alignment horizontal="right" vertical="center"/>
    </xf>
    <xf numFmtId="42" fontId="10" fillId="0" borderId="21" xfId="0" applyNumberFormat="1" applyFont="1" applyBorder="1" applyAlignment="1">
      <alignment vertical="center"/>
    </xf>
    <xf numFmtId="0" fontId="10" fillId="10" borderId="38" xfId="0" applyFont="1" applyFill="1" applyBorder="1"/>
    <xf numFmtId="0" fontId="10" fillId="10" borderId="0" xfId="0" applyFont="1" applyFill="1"/>
    <xf numFmtId="0" fontId="10" fillId="10" borderId="39" xfId="0" applyFont="1" applyFill="1" applyBorder="1" applyAlignment="1">
      <alignment vertical="center" wrapText="1"/>
    </xf>
    <xf numFmtId="0" fontId="10" fillId="0" borderId="1" xfId="0" applyFont="1" applyBorder="1" applyAlignment="1">
      <alignment horizontal="right" vertical="center"/>
    </xf>
    <xf numFmtId="42" fontId="10" fillId="0" borderId="1" xfId="0" applyNumberFormat="1" applyFont="1" applyBorder="1" applyAlignment="1">
      <alignment vertical="center"/>
    </xf>
    <xf numFmtId="0" fontId="10" fillId="10" borderId="49" xfId="0" applyFont="1" applyFill="1" applyBorder="1"/>
    <xf numFmtId="0" fontId="10" fillId="10" borderId="44" xfId="0" applyFont="1" applyFill="1" applyBorder="1"/>
    <xf numFmtId="0" fontId="10" fillId="10" borderId="50" xfId="0" applyFont="1" applyFill="1" applyBorder="1" applyAlignment="1">
      <alignment vertical="center" wrapText="1"/>
    </xf>
    <xf numFmtId="0" fontId="10" fillId="0" borderId="22" xfId="0" applyFont="1" applyBorder="1" applyAlignment="1">
      <alignment vertical="center"/>
    </xf>
    <xf numFmtId="0" fontId="10" fillId="0" borderId="22" xfId="0" applyFont="1" applyBorder="1" applyAlignment="1">
      <alignment horizontal="right" vertical="center"/>
    </xf>
    <xf numFmtId="42" fontId="10" fillId="0" borderId="22" xfId="0" applyNumberFormat="1" applyFont="1" applyBorder="1" applyAlignment="1">
      <alignment vertical="center"/>
    </xf>
    <xf numFmtId="0" fontId="10" fillId="17" borderId="21" xfId="0" applyFont="1" applyFill="1" applyBorder="1" applyAlignment="1">
      <alignment vertical="center"/>
    </xf>
    <xf numFmtId="0" fontId="10" fillId="0" borderId="23" xfId="0" applyFont="1" applyBorder="1" applyAlignment="1">
      <alignment horizontal="right" vertical="center"/>
    </xf>
    <xf numFmtId="44" fontId="10" fillId="0" borderId="0" xfId="0" applyNumberFormat="1" applyFont="1" applyAlignment="1">
      <alignment vertical="center"/>
    </xf>
    <xf numFmtId="0" fontId="10" fillId="0" borderId="45" xfId="0" applyFont="1" applyBorder="1"/>
    <xf numFmtId="0" fontId="10" fillId="0" borderId="59" xfId="0" applyFont="1" applyBorder="1"/>
    <xf numFmtId="0" fontId="27" fillId="4" borderId="45" xfId="0" applyFont="1" applyFill="1" applyBorder="1"/>
    <xf numFmtId="0" fontId="27" fillId="4" borderId="23" xfId="0" applyFont="1" applyFill="1" applyBorder="1"/>
    <xf numFmtId="0" fontId="33" fillId="17" borderId="34" xfId="13" applyFont="1" applyFill="1" applyBorder="1" applyAlignment="1" applyProtection="1">
      <alignment vertical="center"/>
    </xf>
    <xf numFmtId="0" fontId="33" fillId="0" borderId="0" xfId="13" applyFont="1" applyFill="1" applyBorder="1" applyAlignment="1" applyProtection="1"/>
    <xf numFmtId="0" fontId="33" fillId="17" borderId="50" xfId="13" applyFont="1" applyFill="1" applyBorder="1" applyAlignment="1" applyProtection="1">
      <alignment vertical="center"/>
    </xf>
    <xf numFmtId="0" fontId="10" fillId="5" borderId="45" xfId="0" applyFont="1" applyFill="1" applyBorder="1" applyAlignment="1">
      <alignment vertical="center"/>
    </xf>
    <xf numFmtId="0" fontId="10" fillId="0" borderId="23" xfId="0" applyFont="1" applyBorder="1" applyAlignment="1">
      <alignment vertical="center" wrapText="1"/>
    </xf>
    <xf numFmtId="0" fontId="33" fillId="17" borderId="33" xfId="13" applyFont="1" applyFill="1" applyBorder="1" applyAlignment="1" applyProtection="1">
      <alignment vertical="center"/>
    </xf>
    <xf numFmtId="0" fontId="10" fillId="5" borderId="49" xfId="0" applyFont="1" applyFill="1" applyBorder="1" applyAlignment="1">
      <alignment vertical="center"/>
    </xf>
    <xf numFmtId="0" fontId="33" fillId="0" borderId="23" xfId="13" applyFont="1" applyFill="1" applyBorder="1" applyAlignment="1" applyProtection="1">
      <alignment vertical="center"/>
    </xf>
    <xf numFmtId="44" fontId="27" fillId="0" borderId="0" xfId="0" applyNumberFormat="1" applyFont="1"/>
    <xf numFmtId="44" fontId="27" fillId="4" borderId="23" xfId="0" applyNumberFormat="1" applyFont="1" applyFill="1" applyBorder="1" applyAlignment="1">
      <alignment horizontal="right" vertical="center"/>
    </xf>
    <xf numFmtId="0" fontId="27" fillId="4" borderId="23" xfId="0" applyFont="1" applyFill="1" applyBorder="1" applyAlignment="1">
      <alignment horizontal="center" vertical="center"/>
    </xf>
    <xf numFmtId="0" fontId="27" fillId="4" borderId="23" xfId="0" applyFont="1" applyFill="1" applyBorder="1" applyAlignment="1">
      <alignment horizontal="center" vertical="center" wrapText="1"/>
    </xf>
    <xf numFmtId="0" fontId="27" fillId="0" borderId="23" xfId="0" applyFont="1" applyBorder="1" applyAlignment="1">
      <alignment horizontal="left" vertical="center" wrapText="1"/>
    </xf>
    <xf numFmtId="0" fontId="10" fillId="0" borderId="23" xfId="0" applyFont="1" applyBorder="1" applyAlignment="1">
      <alignment horizontal="left" vertical="center" wrapText="1"/>
    </xf>
    <xf numFmtId="44" fontId="10" fillId="10" borderId="23" xfId="27" applyFont="1" applyFill="1" applyBorder="1"/>
    <xf numFmtId="0" fontId="10" fillId="0" borderId="23" xfId="0" applyFont="1" applyBorder="1" applyAlignment="1">
      <alignment horizontal="center" vertical="center" wrapText="1"/>
    </xf>
    <xf numFmtId="0" fontId="10" fillId="0" borderId="23" xfId="13" applyNumberFormat="1" applyFont="1" applyFill="1" applyBorder="1" applyAlignment="1" applyProtection="1">
      <alignment horizontal="left" vertical="center"/>
    </xf>
    <xf numFmtId="0" fontId="27" fillId="0" borderId="23" xfId="0" applyFont="1" applyBorder="1" applyAlignment="1">
      <alignment horizontal="left" vertical="center"/>
    </xf>
    <xf numFmtId="0" fontId="10" fillId="0" borderId="23" xfId="0" applyFont="1" applyBorder="1" applyAlignment="1">
      <alignment horizontal="left" vertical="center"/>
    </xf>
    <xf numFmtId="0" fontId="10" fillId="17" borderId="23" xfId="0" applyFont="1" applyFill="1" applyBorder="1" applyAlignment="1">
      <alignment horizontal="center" vertical="center"/>
    </xf>
    <xf numFmtId="0" fontId="10" fillId="17" borderId="23" xfId="0" applyFont="1" applyFill="1" applyBorder="1" applyAlignment="1">
      <alignment horizontal="center" vertical="center" wrapText="1"/>
    </xf>
    <xf numFmtId="0" fontId="10" fillId="0" borderId="23" xfId="27" applyNumberFormat="1" applyFont="1" applyFill="1" applyBorder="1" applyAlignment="1">
      <alignment horizontal="left" vertical="center"/>
    </xf>
    <xf numFmtId="0" fontId="27" fillId="17" borderId="23" xfId="0" applyFont="1" applyFill="1" applyBorder="1" applyAlignment="1">
      <alignment horizontal="left" vertical="center"/>
    </xf>
    <xf numFmtId="0" fontId="10" fillId="0" borderId="23" xfId="0" applyFont="1" applyBorder="1" applyAlignment="1">
      <alignment horizontal="center" vertical="center"/>
    </xf>
    <xf numFmtId="44" fontId="10" fillId="10" borderId="23" xfId="0" applyNumberFormat="1" applyFont="1" applyFill="1" applyBorder="1" applyAlignment="1">
      <alignment vertical="center"/>
    </xf>
    <xf numFmtId="0" fontId="10" fillId="0" borderId="0" xfId="0" applyFont="1" applyAlignment="1">
      <alignment horizontal="left"/>
    </xf>
    <xf numFmtId="0" fontId="10" fillId="17" borderId="23" xfId="0" applyFont="1" applyFill="1" applyBorder="1" applyAlignment="1">
      <alignment horizontal="left" vertical="center"/>
    </xf>
    <xf numFmtId="44" fontId="10" fillId="10" borderId="23" xfId="0" applyNumberFormat="1" applyFont="1" applyFill="1" applyBorder="1" applyAlignment="1">
      <alignment vertical="center" wrapText="1"/>
    </xf>
    <xf numFmtId="44" fontId="10" fillId="10" borderId="23" xfId="0" applyNumberFormat="1" applyFont="1" applyFill="1" applyBorder="1" applyAlignment="1">
      <alignment horizontal="right" vertical="center" wrapText="1"/>
    </xf>
    <xf numFmtId="0" fontId="27" fillId="5" borderId="23" xfId="0" applyFont="1" applyFill="1" applyBorder="1"/>
    <xf numFmtId="44" fontId="27" fillId="5" borderId="23" xfId="0" applyNumberFormat="1" applyFont="1" applyFill="1" applyBorder="1" applyAlignment="1">
      <alignment horizontal="right" vertical="center" wrapText="1"/>
    </xf>
    <xf numFmtId="0" fontId="27" fillId="0" borderId="23" xfId="0" applyFont="1" applyBorder="1"/>
    <xf numFmtId="173" fontId="10" fillId="0" borderId="23" xfId="0" applyNumberFormat="1" applyFont="1" applyBorder="1" applyAlignment="1">
      <alignment horizontal="center" vertical="center"/>
    </xf>
    <xf numFmtId="0" fontId="10" fillId="0" borderId="23" xfId="27" applyNumberFormat="1" applyFont="1" applyFill="1" applyBorder="1" applyAlignment="1">
      <alignment horizontal="left" vertical="center" wrapText="1"/>
    </xf>
    <xf numFmtId="42" fontId="27" fillId="4" borderId="23" xfId="0" applyNumberFormat="1" applyFont="1" applyFill="1" applyBorder="1" applyAlignment="1">
      <alignment horizontal="center" vertical="center" wrapText="1"/>
    </xf>
    <xf numFmtId="173" fontId="27" fillId="4" borderId="23" xfId="0" applyNumberFormat="1" applyFont="1" applyFill="1" applyBorder="1" applyAlignment="1">
      <alignment horizontal="center" vertical="center"/>
    </xf>
    <xf numFmtId="44" fontId="10" fillId="17" borderId="23" xfId="0" applyNumberFormat="1" applyFont="1" applyFill="1" applyBorder="1" applyAlignment="1">
      <alignment horizontal="center" vertical="center" wrapText="1"/>
    </xf>
    <xf numFmtId="44" fontId="27" fillId="4" borderId="23" xfId="0" applyNumberFormat="1" applyFont="1" applyFill="1" applyBorder="1" applyAlignment="1">
      <alignment horizontal="center" vertical="center" wrapText="1"/>
    </xf>
    <xf numFmtId="0" fontId="10" fillId="0" borderId="0" xfId="0" applyFont="1" applyAlignment="1">
      <alignment horizontal="center" vertical="center" wrapText="1"/>
    </xf>
    <xf numFmtId="0" fontId="27" fillId="4" borderId="46" xfId="0" applyFont="1" applyFill="1" applyBorder="1"/>
    <xf numFmtId="0" fontId="27" fillId="4" borderId="46" xfId="0" applyFont="1" applyFill="1" applyBorder="1" applyAlignment="1">
      <alignment vertical="center"/>
    </xf>
    <xf numFmtId="44" fontId="10" fillId="4" borderId="46" xfId="0" applyNumberFormat="1" applyFont="1" applyFill="1" applyBorder="1" applyAlignment="1">
      <alignment vertical="center"/>
    </xf>
    <xf numFmtId="0" fontId="10" fillId="4" borderId="46" xfId="0" applyFont="1" applyFill="1" applyBorder="1" applyAlignment="1">
      <alignment horizontal="center" vertical="center" wrapText="1"/>
    </xf>
    <xf numFmtId="0" fontId="27" fillId="4" borderId="0" xfId="0" applyFont="1" applyFill="1"/>
    <xf numFmtId="0" fontId="27" fillId="4" borderId="0" xfId="0" applyFont="1" applyFill="1" applyAlignment="1">
      <alignment vertical="center"/>
    </xf>
    <xf numFmtId="44" fontId="10" fillId="4" borderId="0" xfId="0" applyNumberFormat="1" applyFont="1" applyFill="1" applyAlignment="1">
      <alignment vertical="center"/>
    </xf>
    <xf numFmtId="0" fontId="10" fillId="4" borderId="50" xfId="0" applyFont="1" applyFill="1" applyBorder="1" applyAlignment="1">
      <alignment horizontal="center" vertical="center" wrapText="1"/>
    </xf>
    <xf numFmtId="44" fontId="27" fillId="4" borderId="23" xfId="0" applyNumberFormat="1" applyFont="1" applyFill="1" applyBorder="1" applyAlignment="1">
      <alignment horizontal="center" vertical="center"/>
    </xf>
    <xf numFmtId="42" fontId="10" fillId="0" borderId="23" xfId="0" applyNumberFormat="1" applyFont="1" applyBorder="1"/>
    <xf numFmtId="42" fontId="10" fillId="0" borderId="23" xfId="0" applyNumberFormat="1" applyFont="1" applyBorder="1" applyAlignment="1">
      <alignment horizontal="right"/>
    </xf>
    <xf numFmtId="42" fontId="10" fillId="0" borderId="23" xfId="0" applyNumberFormat="1" applyFont="1" applyBorder="1" applyAlignment="1">
      <alignment vertical="center" wrapText="1"/>
    </xf>
    <xf numFmtId="44" fontId="27" fillId="0" borderId="0" xfId="0" applyNumberFormat="1" applyFont="1" applyAlignment="1">
      <alignment horizontal="right" vertical="center"/>
    </xf>
    <xf numFmtId="0" fontId="10" fillId="0" borderId="1" xfId="0" applyFont="1" applyBorder="1" applyAlignment="1">
      <alignment wrapText="1"/>
    </xf>
    <xf numFmtId="0" fontId="12" fillId="0" borderId="1" xfId="0" applyFont="1" applyBorder="1"/>
    <xf numFmtId="0" fontId="10" fillId="0" borderId="22" xfId="0" applyFont="1" applyBorder="1" applyAlignment="1">
      <alignment wrapText="1"/>
    </xf>
    <xf numFmtId="0" fontId="47" fillId="5" borderId="21" xfId="0" applyFont="1" applyFill="1" applyBorder="1" applyAlignment="1">
      <alignment horizontal="left" vertical="center" wrapText="1"/>
    </xf>
    <xf numFmtId="0" fontId="47" fillId="5" borderId="46" xfId="0" applyFont="1" applyFill="1" applyBorder="1" applyAlignment="1">
      <alignment horizontal="left" vertical="center" wrapText="1"/>
    </xf>
    <xf numFmtId="0" fontId="47" fillId="5" borderId="40" xfId="0" applyFont="1" applyFill="1" applyBorder="1" applyAlignment="1">
      <alignment horizontal="left" vertical="center" wrapText="1"/>
    </xf>
    <xf numFmtId="0" fontId="47" fillId="5" borderId="1" xfId="0" applyFont="1" applyFill="1" applyBorder="1" applyAlignment="1">
      <alignment horizontal="left" vertical="center" wrapText="1"/>
    </xf>
    <xf numFmtId="0" fontId="47" fillId="5" borderId="39" xfId="0" applyFont="1" applyFill="1" applyBorder="1" applyAlignment="1">
      <alignment horizontal="left" vertical="center" wrapText="1"/>
    </xf>
    <xf numFmtId="0" fontId="47" fillId="5" borderId="22" xfId="0" applyFont="1" applyFill="1" applyBorder="1" applyAlignment="1">
      <alignment horizontal="right" vertical="center" wrapText="1"/>
    </xf>
    <xf numFmtId="0" fontId="47" fillId="5" borderId="49" xfId="0" applyFont="1" applyFill="1" applyBorder="1" applyAlignment="1">
      <alignment horizontal="right" vertical="center" wrapText="1"/>
    </xf>
    <xf numFmtId="0" fontId="12" fillId="5" borderId="22" xfId="0" applyFont="1" applyFill="1" applyBorder="1" applyAlignment="1">
      <alignment horizontal="left" vertical="center" wrapText="1"/>
    </xf>
    <xf numFmtId="0" fontId="12" fillId="5" borderId="21" xfId="0" applyFont="1" applyFill="1" applyBorder="1"/>
    <xf numFmtId="0" fontId="12" fillId="4" borderId="34" xfId="0" applyFont="1" applyFill="1" applyBorder="1"/>
    <xf numFmtId="1" fontId="48" fillId="10" borderId="38" xfId="22" applyNumberFormat="1" applyFont="1" applyFill="1" applyBorder="1" applyAlignment="1">
      <alignment wrapText="1"/>
    </xf>
    <xf numFmtId="1" fontId="12" fillId="10" borderId="38" xfId="0" applyNumberFormat="1" applyFont="1" applyFill="1" applyBorder="1"/>
    <xf numFmtId="0" fontId="12" fillId="0" borderId="1" xfId="0" quotePrefix="1" applyFont="1" applyBorder="1" applyAlignment="1">
      <alignment wrapText="1"/>
    </xf>
    <xf numFmtId="0" fontId="12" fillId="5" borderId="1" xfId="0" applyFont="1" applyFill="1" applyBorder="1"/>
    <xf numFmtId="0" fontId="12" fillId="4" borderId="39" xfId="0" applyFont="1" applyFill="1" applyBorder="1"/>
    <xf numFmtId="0" fontId="12" fillId="5" borderId="22" xfId="0" applyFont="1" applyFill="1" applyBorder="1"/>
    <xf numFmtId="0" fontId="12" fillId="4" borderId="50" xfId="0" applyFont="1" applyFill="1" applyBorder="1"/>
    <xf numFmtId="1" fontId="48" fillId="10" borderId="49" xfId="22" applyNumberFormat="1" applyFont="1" applyFill="1" applyBorder="1" applyAlignment="1">
      <alignment wrapText="1"/>
    </xf>
    <xf numFmtId="1" fontId="48" fillId="10" borderId="22" xfId="22" applyNumberFormat="1" applyFont="1" applyFill="1" applyBorder="1"/>
    <xf numFmtId="0" fontId="12" fillId="0" borderId="22" xfId="0" applyFont="1" applyBorder="1" applyAlignment="1">
      <alignment wrapText="1"/>
    </xf>
    <xf numFmtId="0" fontId="12" fillId="10" borderId="39" xfId="0" applyFont="1" applyFill="1" applyBorder="1" applyAlignment="1">
      <alignment wrapText="1"/>
    </xf>
    <xf numFmtId="0" fontId="12" fillId="10" borderId="0" xfId="0" applyFont="1" applyFill="1"/>
    <xf numFmtId="1" fontId="48" fillId="10" borderId="38" xfId="22" applyNumberFormat="1" applyFont="1" applyFill="1" applyBorder="1"/>
    <xf numFmtId="1" fontId="48" fillId="10" borderId="40" xfId="22" applyNumberFormat="1" applyFont="1" applyFill="1" applyBorder="1" applyAlignment="1">
      <alignment wrapText="1"/>
    </xf>
    <xf numFmtId="1" fontId="12" fillId="10" borderId="40" xfId="0" applyNumberFormat="1" applyFont="1" applyFill="1" applyBorder="1"/>
    <xf numFmtId="0" fontId="12" fillId="0" borderId="21" xfId="0" applyFont="1" applyBorder="1" applyAlignment="1">
      <alignment wrapText="1"/>
    </xf>
    <xf numFmtId="1" fontId="12" fillId="10" borderId="40" xfId="0" applyNumberFormat="1" applyFont="1" applyFill="1" applyBorder="1" applyAlignment="1">
      <alignment wrapText="1"/>
    </xf>
    <xf numFmtId="0" fontId="49" fillId="0" borderId="0" xfId="0" applyFont="1"/>
    <xf numFmtId="1" fontId="12" fillId="10" borderId="38" xfId="0" applyNumberFormat="1" applyFont="1" applyFill="1" applyBorder="1" applyAlignment="1">
      <alignment wrapText="1"/>
    </xf>
    <xf numFmtId="1" fontId="12" fillId="0" borderId="1" xfId="0" quotePrefix="1" applyNumberFormat="1" applyFont="1" applyBorder="1" applyAlignment="1">
      <alignment wrapText="1"/>
    </xf>
    <xf numFmtId="1" fontId="12" fillId="10" borderId="22" xfId="0" applyNumberFormat="1" applyFont="1" applyFill="1" applyBorder="1"/>
    <xf numFmtId="0" fontId="47" fillId="0" borderId="46" xfId="0" applyFont="1" applyBorder="1" applyAlignment="1">
      <alignment wrapText="1"/>
    </xf>
    <xf numFmtId="0" fontId="47" fillId="4" borderId="23" xfId="19" applyFont="1" applyFill="1" applyBorder="1" applyAlignment="1">
      <alignment wrapText="1"/>
    </xf>
    <xf numFmtId="0" fontId="47" fillId="4" borderId="23" xfId="19" applyFont="1" applyFill="1" applyBorder="1" applyAlignment="1">
      <alignment horizontal="left" wrapText="1"/>
    </xf>
    <xf numFmtId="0" fontId="47" fillId="4" borderId="21" xfId="0" applyFont="1" applyFill="1" applyBorder="1" applyAlignment="1">
      <alignment wrapText="1"/>
    </xf>
    <xf numFmtId="0" fontId="12" fillId="4" borderId="23" xfId="19" applyFont="1" applyFill="1" applyBorder="1" applyAlignment="1">
      <alignment vertical="center" wrapText="1"/>
    </xf>
    <xf numFmtId="0" fontId="12" fillId="10" borderId="23" xfId="0" applyFont="1" applyFill="1" applyBorder="1" applyAlignment="1">
      <alignment vertical="center" wrapText="1"/>
    </xf>
    <xf numFmtId="0" fontId="16" fillId="0" borderId="23" xfId="13" applyFont="1" applyBorder="1" applyAlignment="1" applyProtection="1">
      <alignment wrapText="1"/>
    </xf>
    <xf numFmtId="0" fontId="12" fillId="4" borderId="23" xfId="0" applyFont="1" applyFill="1" applyBorder="1" applyAlignment="1">
      <alignment vertical="center" wrapText="1"/>
    </xf>
    <xf numFmtId="0" fontId="47" fillId="5" borderId="23" xfId="0" applyFont="1" applyFill="1" applyBorder="1" applyAlignment="1">
      <alignment wrapText="1"/>
    </xf>
    <xf numFmtId="0" fontId="12" fillId="4" borderId="23" xfId="0" applyFont="1" applyFill="1" applyBorder="1" applyAlignment="1">
      <alignment horizontal="left" vertical="center" wrapText="1"/>
    </xf>
    <xf numFmtId="0" fontId="16" fillId="0" borderId="23" xfId="13" applyFont="1" applyBorder="1" applyAlignment="1" applyProtection="1">
      <alignment horizontal="left" vertical="center" wrapText="1"/>
    </xf>
    <xf numFmtId="0" fontId="16" fillId="0" borderId="0" xfId="13" applyFont="1" applyAlignment="1" applyProtection="1">
      <alignment wrapText="1"/>
    </xf>
    <xf numFmtId="0" fontId="16" fillId="0" borderId="23" xfId="13" applyFont="1" applyFill="1" applyBorder="1" applyAlignment="1" applyProtection="1">
      <alignment horizontal="left" vertical="center" wrapText="1"/>
    </xf>
    <xf numFmtId="49" fontId="12" fillId="0" borderId="0" xfId="0" applyNumberFormat="1" applyFont="1"/>
    <xf numFmtId="49" fontId="27" fillId="2" borderId="23" xfId="0" applyNumberFormat="1" applyFont="1" applyFill="1" applyBorder="1" applyAlignment="1">
      <alignment horizontal="left" vertical="center"/>
    </xf>
    <xf numFmtId="164" fontId="27" fillId="2" borderId="23" xfId="0" applyNumberFormat="1" applyFont="1" applyFill="1" applyBorder="1" applyAlignment="1">
      <alignment horizontal="left" vertical="center"/>
    </xf>
    <xf numFmtId="0" fontId="27" fillId="2" borderId="23" xfId="0" applyFont="1" applyFill="1" applyBorder="1" applyAlignment="1">
      <alignment horizontal="left" vertical="center" wrapText="1"/>
    </xf>
    <xf numFmtId="49" fontId="10" fillId="0" borderId="23" xfId="0" applyNumberFormat="1" applyFont="1" applyBorder="1" applyAlignment="1">
      <alignment horizontal="left" vertical="center"/>
    </xf>
    <xf numFmtId="164" fontId="10" fillId="0" borderId="23" xfId="0" applyNumberFormat="1" applyFont="1" applyBorder="1" applyAlignment="1">
      <alignment horizontal="left" vertical="center"/>
    </xf>
    <xf numFmtId="49" fontId="10" fillId="0" borderId="23" xfId="0" applyNumberFormat="1" applyFont="1" applyBorder="1" applyAlignment="1">
      <alignment horizontal="left" vertical="center" wrapText="1"/>
    </xf>
    <xf numFmtId="0" fontId="31" fillId="0" borderId="21" xfId="0" applyFont="1" applyBorder="1" applyAlignment="1">
      <alignment wrapText="1"/>
    </xf>
    <xf numFmtId="170" fontId="36" fillId="4" borderId="25" xfId="0" applyNumberFormat="1" applyFont="1" applyFill="1" applyBorder="1" applyAlignment="1" applyProtection="1">
      <alignment vertical="center"/>
      <protection locked="0"/>
    </xf>
    <xf numFmtId="170" fontId="36" fillId="4" borderId="27" xfId="0" applyNumberFormat="1" applyFont="1" applyFill="1" applyBorder="1" applyAlignment="1" applyProtection="1">
      <alignment vertical="center"/>
      <protection locked="0"/>
    </xf>
    <xf numFmtId="170" fontId="36" fillId="4" borderId="31" xfId="0" applyNumberFormat="1" applyFont="1" applyFill="1" applyBorder="1" applyAlignment="1" applyProtection="1">
      <alignment vertical="center"/>
      <protection locked="0"/>
    </xf>
    <xf numFmtId="0" fontId="28" fillId="22" borderId="23" xfId="0" applyFont="1" applyFill="1" applyBorder="1" applyAlignment="1">
      <alignment vertical="center"/>
    </xf>
    <xf numFmtId="0" fontId="42" fillId="0" borderId="23" xfId="0" applyFont="1" applyBorder="1" applyAlignment="1">
      <alignment vertical="center"/>
    </xf>
    <xf numFmtId="0" fontId="36" fillId="10" borderId="40" xfId="0" applyFont="1" applyFill="1" applyBorder="1" applyAlignment="1">
      <alignment vertical="center" wrapText="1"/>
    </xf>
    <xf numFmtId="0" fontId="36" fillId="10" borderId="46" xfId="0" applyFont="1" applyFill="1" applyBorder="1" applyAlignment="1">
      <alignment vertical="center" wrapText="1"/>
    </xf>
    <xf numFmtId="0" fontId="36" fillId="10" borderId="34" xfId="0" applyFont="1" applyFill="1" applyBorder="1" applyAlignment="1">
      <alignment vertical="center" wrapText="1"/>
    </xf>
    <xf numFmtId="0" fontId="36" fillId="0" borderId="49" xfId="0" applyFont="1" applyBorder="1" applyAlignment="1">
      <alignment vertical="center" wrapText="1"/>
    </xf>
    <xf numFmtId="0" fontId="36" fillId="0" borderId="44" xfId="0" applyFont="1" applyBorder="1" applyAlignment="1">
      <alignment vertical="center" wrapText="1"/>
    </xf>
    <xf numFmtId="0" fontId="36" fillId="0" borderId="50" xfId="0" applyFont="1" applyBorder="1" applyAlignment="1">
      <alignment vertical="center" wrapText="1"/>
    </xf>
    <xf numFmtId="0" fontId="36" fillId="0" borderId="38" xfId="0" applyFont="1" applyBorder="1" applyAlignment="1">
      <alignment vertical="center" wrapText="1"/>
    </xf>
    <xf numFmtId="0" fontId="36" fillId="0" borderId="0" xfId="0" applyFont="1" applyAlignment="1">
      <alignment vertical="center" wrapText="1"/>
    </xf>
    <xf numFmtId="0" fontId="36" fillId="0" borderId="39" xfId="0" applyFont="1" applyBorder="1" applyAlignment="1">
      <alignment vertical="center" wrapText="1"/>
    </xf>
    <xf numFmtId="0" fontId="36" fillId="10" borderId="23" xfId="0" applyFont="1" applyFill="1" applyBorder="1" applyAlignment="1">
      <alignment horizontal="left" vertical="center" wrapText="1"/>
    </xf>
    <xf numFmtId="0" fontId="36" fillId="10" borderId="23" xfId="0" applyFont="1" applyFill="1" applyBorder="1" applyAlignment="1">
      <alignment vertical="center" wrapText="1"/>
    </xf>
    <xf numFmtId="0" fontId="36" fillId="10" borderId="23" xfId="0" applyFont="1" applyFill="1" applyBorder="1" applyAlignment="1">
      <alignment vertical="center"/>
    </xf>
    <xf numFmtId="0" fontId="36" fillId="0" borderId="23" xfId="0" applyFont="1" applyBorder="1" applyAlignment="1">
      <alignment vertical="center"/>
    </xf>
    <xf numFmtId="0" fontId="36" fillId="0" borderId="0" xfId="0" applyFont="1" applyAlignment="1">
      <alignment vertical="center"/>
    </xf>
    <xf numFmtId="0" fontId="36" fillId="10" borderId="21" xfId="0" applyFont="1" applyFill="1" applyBorder="1" applyAlignment="1">
      <alignment vertical="center" wrapText="1"/>
    </xf>
    <xf numFmtId="0" fontId="36" fillId="10" borderId="1" xfId="0" applyFont="1" applyFill="1" applyBorder="1" applyAlignment="1">
      <alignment vertical="center" wrapText="1"/>
    </xf>
    <xf numFmtId="0" fontId="36" fillId="0" borderId="22" xfId="0" applyFont="1" applyBorder="1" applyAlignment="1">
      <alignment vertical="center" wrapText="1"/>
    </xf>
    <xf numFmtId="0" fontId="29" fillId="10" borderId="23" xfId="0" applyFont="1" applyFill="1" applyBorder="1"/>
    <xf numFmtId="0" fontId="29" fillId="0" borderId="23" xfId="0" applyFont="1" applyBorder="1"/>
    <xf numFmtId="2" fontId="36" fillId="10" borderId="23" xfId="0" applyNumberFormat="1" applyFont="1" applyFill="1" applyBorder="1" applyAlignment="1">
      <alignment horizontal="left" vertical="center" wrapText="1"/>
    </xf>
    <xf numFmtId="0" fontId="36" fillId="10" borderId="45" xfId="0" applyFont="1" applyFill="1" applyBorder="1" applyAlignment="1">
      <alignment horizontal="left" vertical="center"/>
    </xf>
    <xf numFmtId="0" fontId="36" fillId="0" borderId="59" xfId="0" applyFont="1" applyBorder="1" applyAlignment="1">
      <alignment vertical="center"/>
    </xf>
    <xf numFmtId="0" fontId="36" fillId="0" borderId="33" xfId="0" applyFont="1" applyBorder="1" applyAlignment="1">
      <alignment vertical="center"/>
    </xf>
    <xf numFmtId="0" fontId="27" fillId="4" borderId="45" xfId="0" applyFont="1" applyFill="1" applyBorder="1" applyAlignment="1">
      <alignment horizontal="left" vertical="top"/>
    </xf>
    <xf numFmtId="0" fontId="27" fillId="4" borderId="59" xfId="0" applyFont="1" applyFill="1" applyBorder="1" applyAlignment="1">
      <alignment horizontal="left" vertical="top"/>
    </xf>
    <xf numFmtId="0" fontId="27" fillId="13" borderId="59" xfId="0" applyFont="1" applyFill="1" applyBorder="1" applyAlignment="1">
      <alignment horizontal="center"/>
    </xf>
    <xf numFmtId="0" fontId="10" fillId="0" borderId="59" xfId="0" applyFont="1" applyBorder="1" applyAlignment="1">
      <alignment horizontal="center"/>
    </xf>
    <xf numFmtId="0" fontId="10" fillId="0" borderId="33" xfId="0" applyFont="1" applyBorder="1" applyAlignment="1">
      <alignment horizontal="center"/>
    </xf>
    <xf numFmtId="0" fontId="10" fillId="22" borderId="21" xfId="0" applyFont="1" applyFill="1" applyBorder="1" applyAlignment="1">
      <alignment horizontal="center" vertical="top" wrapText="1"/>
    </xf>
    <xf numFmtId="0" fontId="10" fillId="22" borderId="22" xfId="0" applyFont="1" applyFill="1" applyBorder="1" applyAlignment="1">
      <alignment vertical="top" wrapText="1"/>
    </xf>
    <xf numFmtId="0" fontId="10" fillId="0" borderId="0" xfId="0" applyFont="1" applyAlignment="1">
      <alignment wrapText="1"/>
    </xf>
    <xf numFmtId="0" fontId="31" fillId="0" borderId="0" xfId="0" applyFont="1" applyAlignment="1">
      <alignment vertical="center"/>
    </xf>
    <xf numFmtId="0" fontId="0" fillId="0" borderId="0" xfId="0"/>
    <xf numFmtId="0" fontId="10" fillId="5" borderId="21" xfId="0" applyFont="1" applyFill="1" applyBorder="1" applyAlignment="1">
      <alignment vertical="center"/>
    </xf>
    <xf numFmtId="0" fontId="10" fillId="0" borderId="22" xfId="0" applyFont="1" applyBorder="1" applyAlignment="1">
      <alignment vertical="center"/>
    </xf>
    <xf numFmtId="0" fontId="10" fillId="0" borderId="21" xfId="0" applyFont="1" applyBorder="1" applyAlignment="1">
      <alignment vertical="center" wrapText="1"/>
    </xf>
    <xf numFmtId="0" fontId="10" fillId="0" borderId="22" xfId="0" applyFont="1" applyBorder="1" applyAlignment="1">
      <alignment vertical="center" wrapText="1"/>
    </xf>
    <xf numFmtId="44" fontId="10" fillId="17" borderId="23" xfId="0" applyNumberFormat="1" applyFont="1" applyFill="1" applyBorder="1" applyAlignment="1">
      <alignment horizontal="center" vertical="center" wrapText="1"/>
    </xf>
    <xf numFmtId="0" fontId="10" fillId="0" borderId="23" xfId="0" applyFont="1" applyBorder="1" applyAlignment="1">
      <alignment horizontal="center" vertical="center"/>
    </xf>
    <xf numFmtId="42" fontId="27" fillId="0" borderId="38" xfId="0" applyNumberFormat="1" applyFont="1" applyBorder="1" applyAlignment="1">
      <alignment vertical="center"/>
    </xf>
    <xf numFmtId="0" fontId="10" fillId="0" borderId="38" xfId="0" applyFont="1" applyBorder="1" applyAlignment="1">
      <alignment vertical="center"/>
    </xf>
    <xf numFmtId="0" fontId="31" fillId="0" borderId="0" xfId="0" applyFont="1"/>
    <xf numFmtId="0" fontId="3" fillId="5" borderId="40" xfId="0" applyFont="1" applyFill="1" applyBorder="1" applyAlignment="1">
      <alignment wrapText="1"/>
    </xf>
    <xf numFmtId="0" fontId="3" fillId="5" borderId="46" xfId="0" applyFont="1" applyFill="1" applyBorder="1" applyAlignment="1">
      <alignment wrapText="1"/>
    </xf>
    <xf numFmtId="0" fontId="3" fillId="5" borderId="34" xfId="0" applyFont="1" applyFill="1" applyBorder="1" applyAlignment="1">
      <alignment wrapText="1"/>
    </xf>
    <xf numFmtId="49" fontId="31" fillId="0" borderId="0" xfId="0" applyNumberFormat="1" applyFont="1"/>
    <xf numFmtId="0" fontId="29" fillId="12" borderId="23" xfId="0" applyFont="1" applyFill="1" applyBorder="1" applyAlignment="1">
      <alignment vertical="center"/>
    </xf>
    <xf numFmtId="2" fontId="29" fillId="0" borderId="65" xfId="0" applyNumberFormat="1" applyFont="1" applyBorder="1" applyAlignment="1">
      <alignment horizontal="right" vertical="center"/>
    </xf>
    <xf numFmtId="2" fontId="29" fillId="23" borderId="67" xfId="0" applyNumberFormat="1" applyFont="1" applyFill="1" applyBorder="1" applyAlignment="1">
      <alignment vertical="center"/>
    </xf>
    <xf numFmtId="0" fontId="10" fillId="9" borderId="14" xfId="0" applyFont="1" applyFill="1" applyBorder="1"/>
    <xf numFmtId="0" fontId="10" fillId="9" borderId="3" xfId="0" applyFont="1" applyFill="1" applyBorder="1"/>
    <xf numFmtId="42" fontId="10" fillId="9" borderId="3" xfId="3" applyNumberFormat="1" applyFont="1" applyFill="1" applyBorder="1" applyProtection="1"/>
    <xf numFmtId="165" fontId="10" fillId="9" borderId="3" xfId="3" applyNumberFormat="1" applyFont="1" applyFill="1" applyBorder="1" applyProtection="1"/>
    <xf numFmtId="165" fontId="10" fillId="9" borderId="41" xfId="3" applyNumberFormat="1" applyFont="1" applyFill="1" applyBorder="1" applyProtection="1"/>
    <xf numFmtId="165" fontId="10" fillId="9" borderId="97" xfId="3" applyNumberFormat="1" applyFont="1" applyFill="1" applyBorder="1" applyProtection="1"/>
    <xf numFmtId="0" fontId="46" fillId="9" borderId="37" xfId="0" applyFont="1" applyFill="1" applyBorder="1"/>
    <xf numFmtId="0" fontId="10" fillId="9" borderId="4" xfId="0" applyFont="1" applyFill="1" applyBorder="1"/>
    <xf numFmtId="42" fontId="10" fillId="9" borderId="4" xfId="3" applyNumberFormat="1" applyFont="1" applyFill="1" applyBorder="1" applyProtection="1"/>
    <xf numFmtId="165" fontId="10" fillId="9" borderId="4" xfId="3" applyNumberFormat="1" applyFont="1" applyFill="1" applyBorder="1" applyProtection="1"/>
    <xf numFmtId="165" fontId="10" fillId="9" borderId="42" xfId="3" applyNumberFormat="1" applyFont="1" applyFill="1" applyBorder="1" applyProtection="1"/>
    <xf numFmtId="165" fontId="10" fillId="9" borderId="57" xfId="3" applyNumberFormat="1" applyFont="1" applyFill="1" applyBorder="1" applyProtection="1"/>
    <xf numFmtId="41" fontId="10" fillId="16" borderId="19" xfId="0" applyNumberFormat="1" applyFont="1" applyFill="1" applyBorder="1"/>
    <xf numFmtId="42" fontId="10" fillId="16" borderId="19" xfId="3" applyNumberFormat="1" applyFont="1" applyFill="1" applyBorder="1" applyProtection="1"/>
    <xf numFmtId="41" fontId="10" fillId="16" borderId="19" xfId="3" applyNumberFormat="1" applyFont="1" applyFill="1" applyBorder="1" applyProtection="1"/>
    <xf numFmtId="41" fontId="10" fillId="16" borderId="43" xfId="3" applyNumberFormat="1" applyFont="1" applyFill="1" applyBorder="1" applyProtection="1"/>
    <xf numFmtId="41" fontId="10" fillId="16" borderId="56" xfId="3" applyNumberFormat="1" applyFont="1" applyFill="1" applyBorder="1" applyProtection="1"/>
    <xf numFmtId="41" fontId="1" fillId="0" borderId="0" xfId="0" applyNumberFormat="1" applyFont="1"/>
    <xf numFmtId="0" fontId="46" fillId="8" borderId="14" xfId="0" applyFont="1" applyFill="1" applyBorder="1"/>
    <xf numFmtId="0" fontId="10" fillId="8" borderId="3" xfId="0" applyFont="1" applyFill="1" applyBorder="1"/>
    <xf numFmtId="42" fontId="10" fillId="8" borderId="3" xfId="3" applyNumberFormat="1" applyFont="1" applyFill="1" applyBorder="1" applyProtection="1"/>
    <xf numFmtId="165" fontId="10" fillId="8" borderId="3" xfId="3" applyNumberFormat="1" applyFont="1" applyFill="1" applyBorder="1" applyProtection="1"/>
    <xf numFmtId="165" fontId="10" fillId="8" borderId="41" xfId="3" applyNumberFormat="1" applyFont="1" applyFill="1" applyBorder="1" applyProtection="1"/>
    <xf numFmtId="165" fontId="10" fillId="8" borderId="97" xfId="3" applyNumberFormat="1" applyFont="1" applyFill="1" applyBorder="1" applyProtection="1"/>
    <xf numFmtId="0" fontId="46" fillId="8" borderId="37" xfId="0" applyFont="1" applyFill="1" applyBorder="1"/>
    <xf numFmtId="0" fontId="10" fillId="8" borderId="4" xfId="0" applyFont="1" applyFill="1" applyBorder="1"/>
    <xf numFmtId="42" fontId="10" fillId="8" borderId="4" xfId="3" applyNumberFormat="1" applyFont="1" applyFill="1" applyBorder="1" applyProtection="1"/>
    <xf numFmtId="165" fontId="10" fillId="8" borderId="4" xfId="3" applyNumberFormat="1" applyFont="1" applyFill="1" applyBorder="1" applyProtection="1"/>
    <xf numFmtId="165" fontId="10" fillId="8" borderId="42" xfId="3" applyNumberFormat="1" applyFont="1" applyFill="1" applyBorder="1" applyProtection="1"/>
    <xf numFmtId="165" fontId="10" fillId="8" borderId="57" xfId="3" applyNumberFormat="1" applyFont="1" applyFill="1" applyBorder="1" applyProtection="1"/>
    <xf numFmtId="2" fontId="36" fillId="10" borderId="23" xfId="0" applyNumberFormat="1" applyFont="1" applyFill="1" applyBorder="1" applyAlignment="1">
      <alignment horizontal="left" vertical="center"/>
    </xf>
    <xf numFmtId="2" fontId="36" fillId="10" borderId="21" xfId="0" applyNumberFormat="1" applyFont="1" applyFill="1" applyBorder="1" applyAlignment="1">
      <alignment horizontal="left" vertical="center"/>
    </xf>
    <xf numFmtId="0" fontId="0" fillId="0" borderId="23" xfId="0" applyBorder="1" applyAlignment="1">
      <alignment vertical="center"/>
    </xf>
    <xf numFmtId="0" fontId="29" fillId="4" borderId="19" xfId="0" applyFont="1" applyFill="1" applyBorder="1" applyAlignment="1" applyProtection="1">
      <alignment vertical="center"/>
      <protection locked="0"/>
    </xf>
    <xf numFmtId="0" fontId="29" fillId="4" borderId="56" xfId="0" applyFont="1" applyFill="1" applyBorder="1" applyAlignment="1" applyProtection="1">
      <alignment vertical="center"/>
      <protection locked="0"/>
    </xf>
    <xf numFmtId="0" fontId="10" fillId="4" borderId="0" xfId="0" applyFont="1" applyFill="1" applyAlignment="1">
      <alignment horizontal="left" vertical="center" wrapText="1"/>
    </xf>
    <xf numFmtId="0" fontId="10" fillId="0" borderId="0" xfId="0" applyFont="1" applyAlignment="1">
      <alignment horizontal="left"/>
    </xf>
    <xf numFmtId="0" fontId="10" fillId="0" borderId="44" xfId="0" applyFont="1" applyBorder="1" applyAlignment="1">
      <alignment horizontal="left"/>
    </xf>
    <xf numFmtId="0" fontId="10" fillId="4" borderId="20" xfId="0" applyFont="1" applyFill="1" applyBorder="1" applyAlignment="1">
      <alignment horizontal="left" vertical="center" wrapText="1"/>
    </xf>
    <xf numFmtId="0" fontId="10" fillId="0" borderId="20" xfId="0" applyFont="1" applyBorder="1" applyAlignment="1">
      <alignment horizontal="left" vertical="center" wrapText="1"/>
    </xf>
    <xf numFmtId="0" fontId="10" fillId="0" borderId="89" xfId="0" applyFont="1" applyBorder="1" applyAlignment="1">
      <alignment horizontal="left" vertical="center" wrapText="1"/>
    </xf>
    <xf numFmtId="0" fontId="10" fillId="4" borderId="20" xfId="0" applyFont="1" applyFill="1" applyBorder="1" applyAlignment="1">
      <alignment horizontal="left" vertical="center"/>
    </xf>
    <xf numFmtId="0" fontId="10" fillId="4" borderId="20" xfId="0" applyFont="1" applyFill="1" applyBorder="1" applyAlignment="1">
      <alignment horizontal="left"/>
    </xf>
    <xf numFmtId="0" fontId="46" fillId="16" borderId="18" xfId="0" applyNumberFormat="1" applyFont="1" applyFill="1" applyBorder="1"/>
    <xf numFmtId="0" fontId="10" fillId="4" borderId="59" xfId="0" applyFont="1" applyFill="1" applyBorder="1"/>
    <xf numFmtId="0" fontId="10" fillId="4" borderId="52" xfId="0" applyFont="1" applyFill="1" applyBorder="1"/>
    <xf numFmtId="0" fontId="10" fillId="4" borderId="70" xfId="0" applyFont="1" applyFill="1" applyBorder="1"/>
    <xf numFmtId="0" fontId="43" fillId="4" borderId="37" xfId="0" applyFont="1" applyFill="1" applyBorder="1"/>
    <xf numFmtId="0" fontId="6" fillId="10" borderId="23" xfId="13" applyFill="1" applyBorder="1" applyAlignment="1" applyProtection="1">
      <alignment vertical="center"/>
    </xf>
  </cellXfs>
  <cellStyles count="28">
    <cellStyle name="Atalnod 2" xfId="1" xr:uid="{00000000-0005-0000-0000-000000000000}"/>
    <cellStyle name="Canran 2" xfId="2" xr:uid="{00000000-0005-0000-0000-000001000000}"/>
    <cellStyle name="Comma" xfId="3" builtinId="3"/>
    <cellStyle name="Comma 2" xfId="4" xr:uid="{00000000-0005-0000-0000-000003000000}"/>
    <cellStyle name="Comma 3" xfId="5" xr:uid="{00000000-0005-0000-0000-000004000000}"/>
    <cellStyle name="Comma0" xfId="6" xr:uid="{00000000-0005-0000-0000-000005000000}"/>
    <cellStyle name="Currency" xfId="27" builtinId="4"/>
    <cellStyle name="Currency0" xfId="7" xr:uid="{00000000-0005-0000-0000-000006000000}"/>
    <cellStyle name="Date" xfId="8" xr:uid="{00000000-0005-0000-0000-000007000000}"/>
    <cellStyle name="Fixed" xfId="9" xr:uid="{00000000-0005-0000-0000-000008000000}"/>
    <cellStyle name="Heading 1 2" xfId="10" xr:uid="{00000000-0005-0000-0000-000009000000}"/>
    <cellStyle name="Heading 2 2" xfId="11" xr:uid="{00000000-0005-0000-0000-00000A000000}"/>
    <cellStyle name="Highlight" xfId="12" xr:uid="{00000000-0005-0000-0000-00000B000000}"/>
    <cellStyle name="Hyperlink" xfId="13" builtinId="8"/>
    <cellStyle name="Hyperlink 2" xfId="14" xr:uid="{00000000-0005-0000-0000-00000D000000}"/>
    <cellStyle name="Normal" xfId="0" builtinId="0"/>
    <cellStyle name="Normal 2" xfId="15" xr:uid="{00000000-0005-0000-0000-00000F000000}"/>
    <cellStyle name="Normal 2 2" xfId="16" xr:uid="{00000000-0005-0000-0000-000010000000}"/>
    <cellStyle name="Normal 2 3" xfId="17" xr:uid="{00000000-0005-0000-0000-000011000000}"/>
    <cellStyle name="Normal 2 4" xfId="18" xr:uid="{00000000-0005-0000-0000-000012000000}"/>
    <cellStyle name="Normal 3" xfId="19" xr:uid="{00000000-0005-0000-0000-000013000000}"/>
    <cellStyle name="Normal 3 2" xfId="20" xr:uid="{00000000-0005-0000-0000-000014000000}"/>
    <cellStyle name="Normal 4" xfId="21" xr:uid="{00000000-0005-0000-0000-000015000000}"/>
    <cellStyle name="Normal 5" xfId="22" xr:uid="{00000000-0005-0000-0000-000016000000}"/>
    <cellStyle name="Percent 2" xfId="23" xr:uid="{00000000-0005-0000-0000-000017000000}"/>
    <cellStyle name="Percent 3" xfId="24" xr:uid="{00000000-0005-0000-0000-000018000000}"/>
    <cellStyle name="Percent 4" xfId="25" xr:uid="{00000000-0005-0000-0000-000019000000}"/>
    <cellStyle name="Total 2" xfId="26" xr:uid="{00000000-0005-0000-0000-00001A000000}"/>
  </cellStyles>
  <dxfs count="51">
    <dxf>
      <font>
        <color theme="0"/>
      </font>
      <fill>
        <patternFill>
          <bgColor rgb="FFFF0000"/>
        </patternFill>
      </fill>
    </dxf>
    <dxf>
      <font>
        <color auto="1"/>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border>
        <left style="thin">
          <color auto="1"/>
        </left>
        <right style="thin">
          <color auto="1"/>
        </right>
        <top style="thin">
          <color auto="1"/>
        </top>
        <bottom style="thin">
          <color auto="1"/>
        </bottom>
      </border>
    </dxf>
    <dxf>
      <font>
        <color theme="0"/>
      </font>
      <fill>
        <patternFill>
          <bgColor rgb="FFFF0000"/>
        </patternFill>
      </fill>
    </dxf>
    <dxf>
      <fill>
        <patternFill>
          <bgColor rgb="FF92D05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ont>
        <color theme="0"/>
      </font>
      <fill>
        <patternFill>
          <bgColor rgb="FFFF0000"/>
        </patternFill>
      </fill>
    </dxf>
    <dxf>
      <font>
        <color theme="0"/>
      </font>
      <fill>
        <patternFill>
          <bgColor rgb="FFFF0000"/>
        </patternFill>
      </fill>
    </dxf>
    <dxf>
      <fill>
        <patternFill>
          <bgColor theme="6" tint="0.59996337778862885"/>
        </patternFill>
      </fill>
    </dxf>
    <dxf>
      <fill>
        <patternFill>
          <bgColor theme="6" tint="0.59996337778862885"/>
        </patternFill>
      </fill>
    </dxf>
    <dxf>
      <fill>
        <patternFill>
          <bgColor theme="0" tint="-0.14996795556505021"/>
        </patternFill>
      </fill>
    </dxf>
    <dxf>
      <font>
        <color theme="0"/>
      </font>
      <fill>
        <patternFill>
          <bgColor theme="0"/>
        </patternFill>
      </fill>
    </dxf>
    <dxf>
      <font>
        <color theme="0"/>
      </font>
      <fill>
        <patternFill>
          <bgColor theme="0"/>
        </patternFill>
      </fill>
    </dxf>
    <dxf>
      <font>
        <color theme="0"/>
      </font>
      <fill>
        <patternFill>
          <bgColor rgb="FF92D050"/>
        </patternFill>
      </fill>
    </dxf>
    <dxf>
      <font>
        <b val="0"/>
        <i val="0"/>
        <color theme="0"/>
      </font>
      <fill>
        <patternFill>
          <bgColor rgb="FFFF0000"/>
        </patternFill>
      </fill>
    </dxf>
    <dxf>
      <font>
        <color theme="0"/>
      </font>
      <fill>
        <patternFill>
          <bgColor rgb="FFFFC000"/>
        </patternFill>
      </fill>
    </dxf>
    <dxf>
      <fill>
        <patternFill>
          <bgColor theme="0" tint="-4.9989318521683403E-2"/>
        </patternFill>
      </fill>
    </dxf>
    <dxf>
      <border>
        <left style="thin">
          <color auto="1"/>
        </left>
        <right style="thin">
          <color auto="1"/>
        </right>
        <top style="thin">
          <color auto="1"/>
        </top>
        <bottom style="thin">
          <color auto="1"/>
        </bottom>
      </border>
    </dxf>
    <dxf>
      <font>
        <b/>
        <i val="0"/>
        <color auto="1"/>
      </font>
      <fill>
        <patternFill>
          <bgColor theme="0" tint="-0.14996795556505021"/>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1" defaultTableStyle="TableStyleMedium2" defaultPivotStyle="PivotStyleLight16">
    <tableStyle name="FS 2020" pivot="0" count="4" xr9:uid="{00000000-0011-0000-FFFF-FFFF00000000}">
      <tableStyleElement type="wholeTable" dxfId="50"/>
      <tableStyleElement type="headerRow" dxfId="49"/>
      <tableStyleElement type="firstColumn" dxfId="48"/>
      <tableStyleElement type="firstRowStripe" dxfId="47"/>
    </tableStyle>
  </tableStyles>
  <colors>
    <mruColors>
      <color rgb="FFFFFF99"/>
      <color rgb="FFF7FDA3"/>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333333"/>
                </a:solidFill>
                <a:latin typeface="Calibri"/>
                <a:ea typeface="Calibri"/>
                <a:cs typeface="Calibri"/>
              </a:defRPr>
            </a:pPr>
            <a:r>
              <a:rPr lang="en-GB"/>
              <a:t>Share of income by source (discounted)</a:t>
            </a:r>
          </a:p>
        </c:rich>
      </c:tx>
      <c:overlay val="0"/>
      <c:spPr>
        <a:noFill/>
        <a:ln w="25400">
          <a:noFill/>
        </a:ln>
      </c:spPr>
    </c:title>
    <c:autoTitleDeleted val="0"/>
    <c:plotArea>
      <c:layout>
        <c:manualLayout>
          <c:layoutTarget val="inner"/>
          <c:xMode val="edge"/>
          <c:yMode val="edge"/>
          <c:x val="0.20871589164561977"/>
          <c:y val="0.10741034458998112"/>
          <c:w val="0.5792080423909276"/>
          <c:h val="0.73264979109114936"/>
        </c:manualLayout>
      </c:layout>
      <c:pieChart>
        <c:varyColors val="1"/>
        <c:ser>
          <c:idx val="1"/>
          <c:order val="0"/>
          <c:spPr>
            <a:ln>
              <a:solidFill>
                <a:schemeClr val="accent3">
                  <a:lumMod val="60000"/>
                  <a:lumOff val="40000"/>
                </a:schemeClr>
              </a:solidFill>
            </a:ln>
          </c:spPr>
          <c:dPt>
            <c:idx val="0"/>
            <c:bubble3D val="0"/>
            <c:spPr>
              <a:solidFill>
                <a:srgbClr val="FFFF99"/>
              </a:solidFill>
              <a:ln w="19050">
                <a:solidFill>
                  <a:schemeClr val="accent3">
                    <a:lumMod val="60000"/>
                    <a:lumOff val="40000"/>
                  </a:schemeClr>
                </a:solidFill>
              </a:ln>
              <a:effectLst/>
            </c:spPr>
            <c:extLst>
              <c:ext xmlns:c16="http://schemas.microsoft.com/office/drawing/2014/chart" uri="{C3380CC4-5D6E-409C-BE32-E72D297353CC}">
                <c16:uniqueId val="{00000000-0B32-4D6B-8B9A-97A571DD9C8A}"/>
              </c:ext>
            </c:extLst>
          </c:dPt>
          <c:dPt>
            <c:idx val="1"/>
            <c:bubble3D val="0"/>
            <c:spPr>
              <a:solidFill>
                <a:schemeClr val="accent5">
                  <a:lumMod val="40000"/>
                  <a:lumOff val="60000"/>
                </a:schemeClr>
              </a:solidFill>
              <a:ln w="19050">
                <a:solidFill>
                  <a:schemeClr val="accent3">
                    <a:lumMod val="60000"/>
                    <a:lumOff val="40000"/>
                  </a:schemeClr>
                </a:solidFill>
              </a:ln>
              <a:effectLst/>
            </c:spPr>
            <c:extLst>
              <c:ext xmlns:c16="http://schemas.microsoft.com/office/drawing/2014/chart" uri="{C3380CC4-5D6E-409C-BE32-E72D297353CC}">
                <c16:uniqueId val="{00000001-0B32-4D6B-8B9A-97A571DD9C8A}"/>
              </c:ext>
            </c:extLst>
          </c:dPt>
          <c:dPt>
            <c:idx val="2"/>
            <c:bubble3D val="0"/>
            <c:spPr>
              <a:solidFill>
                <a:schemeClr val="accent3">
                  <a:lumMod val="75000"/>
                </a:schemeClr>
              </a:solidFill>
              <a:ln w="19050">
                <a:solidFill>
                  <a:schemeClr val="accent3">
                    <a:lumMod val="60000"/>
                    <a:lumOff val="40000"/>
                  </a:schemeClr>
                </a:solidFill>
              </a:ln>
              <a:effectLst/>
            </c:spPr>
            <c:extLst>
              <c:ext xmlns:c16="http://schemas.microsoft.com/office/drawing/2014/chart" uri="{C3380CC4-5D6E-409C-BE32-E72D297353CC}">
                <c16:uniqueId val="{00000002-0B32-4D6B-8B9A-97A571DD9C8A}"/>
              </c:ext>
            </c:extLst>
          </c:dPt>
          <c:dPt>
            <c:idx val="3"/>
            <c:bubble3D val="0"/>
            <c:spPr>
              <a:solidFill>
                <a:schemeClr val="accent3">
                  <a:lumMod val="60000"/>
                  <a:lumOff val="40000"/>
                </a:schemeClr>
              </a:solidFill>
              <a:ln w="19050">
                <a:solidFill>
                  <a:schemeClr val="accent3">
                    <a:lumMod val="60000"/>
                    <a:lumOff val="40000"/>
                  </a:schemeClr>
                </a:solidFill>
              </a:ln>
              <a:effectLst/>
            </c:spPr>
            <c:extLst>
              <c:ext xmlns:c16="http://schemas.microsoft.com/office/drawing/2014/chart" uri="{C3380CC4-5D6E-409C-BE32-E72D297353CC}">
                <c16:uniqueId val="{00000003-0B32-4D6B-8B9A-97A571DD9C8A}"/>
              </c:ext>
            </c:extLst>
          </c:dPt>
          <c:dPt>
            <c:idx val="4"/>
            <c:bubble3D val="0"/>
            <c:spPr>
              <a:solidFill>
                <a:schemeClr val="accent3">
                  <a:lumMod val="40000"/>
                  <a:lumOff val="60000"/>
                </a:schemeClr>
              </a:solidFill>
              <a:ln w="19050">
                <a:solidFill>
                  <a:schemeClr val="accent3">
                    <a:lumMod val="40000"/>
                    <a:lumOff val="60000"/>
                  </a:schemeClr>
                </a:solidFill>
              </a:ln>
              <a:effectLst/>
            </c:spPr>
            <c:extLst>
              <c:ext xmlns:c16="http://schemas.microsoft.com/office/drawing/2014/chart" uri="{C3380CC4-5D6E-409C-BE32-E72D297353CC}">
                <c16:uniqueId val="{00000004-0B32-4D6B-8B9A-97A571DD9C8A}"/>
              </c:ext>
            </c:extLst>
          </c:dPt>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Results!$B$12:$E$12</c:f>
              <c:strCache>
                <c:ptCount val="4"/>
                <c:pt idx="0">
                  <c:v>Carbon</c:v>
                </c:pt>
                <c:pt idx="1">
                  <c:v>Grant</c:v>
                </c:pt>
                <c:pt idx="2">
                  <c:v>Timber</c:v>
                </c:pt>
                <c:pt idx="3">
                  <c:v>Donations</c:v>
                </c:pt>
              </c:strCache>
            </c:strRef>
          </c:cat>
          <c:val>
            <c:numRef>
              <c:f>Results!$B$13:$E$13</c:f>
              <c:numCache>
                <c:formatCode>0%</c:formatCode>
                <c:ptCount val="4"/>
                <c:pt idx="0">
                  <c:v>0</c:v>
                </c:pt>
                <c:pt idx="1">
                  <c:v>0</c:v>
                </c:pt>
                <c:pt idx="2">
                  <c:v>0</c:v>
                </c:pt>
                <c:pt idx="3">
                  <c:v>0</c:v>
                </c:pt>
              </c:numCache>
            </c:numRef>
          </c:val>
          <c:extLst>
            <c:ext xmlns:c16="http://schemas.microsoft.com/office/drawing/2014/chart" uri="{C3380CC4-5D6E-409C-BE32-E72D297353CC}">
              <c16:uniqueId val="{00000005-0B32-4D6B-8B9A-97A571DD9C8A}"/>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85" b="0" i="0" u="none" strike="noStrike" baseline="0">
                <a:solidFill>
                  <a:srgbClr val="333333"/>
                </a:solidFill>
                <a:latin typeface="Calibri"/>
                <a:ea typeface="Calibri"/>
                <a:cs typeface="Calibri"/>
              </a:defRPr>
            </a:pPr>
            <a:endParaRPr lang="en-US"/>
          </a:p>
        </c:txPr>
      </c:legendEntry>
      <c:legendEntry>
        <c:idx val="1"/>
        <c:txPr>
          <a:bodyPr/>
          <a:lstStyle/>
          <a:p>
            <a:pPr>
              <a:defRPr sz="1285" b="0" i="0" u="none" strike="noStrike" baseline="0">
                <a:solidFill>
                  <a:srgbClr val="333333"/>
                </a:solidFill>
                <a:latin typeface="Calibri"/>
                <a:ea typeface="Calibri"/>
                <a:cs typeface="Calibri"/>
              </a:defRPr>
            </a:pPr>
            <a:endParaRPr lang="en-US"/>
          </a:p>
        </c:txPr>
      </c:legendEntry>
      <c:legendEntry>
        <c:idx val="2"/>
        <c:txPr>
          <a:bodyPr/>
          <a:lstStyle/>
          <a:p>
            <a:pPr>
              <a:defRPr sz="1285" b="0" i="0" u="none" strike="noStrike" baseline="0">
                <a:solidFill>
                  <a:srgbClr val="333333"/>
                </a:solidFill>
                <a:latin typeface="Calibri"/>
                <a:ea typeface="Calibri"/>
                <a:cs typeface="Calibri"/>
              </a:defRPr>
            </a:pPr>
            <a:endParaRPr lang="en-US"/>
          </a:p>
        </c:txPr>
      </c:legendEntry>
      <c:legendEntry>
        <c:idx val="3"/>
        <c:txPr>
          <a:bodyPr/>
          <a:lstStyle/>
          <a:p>
            <a:pPr>
              <a:defRPr sz="1285" b="0" i="0" u="none" strike="noStrike" baseline="0">
                <a:solidFill>
                  <a:srgbClr val="333333"/>
                </a:solidFill>
                <a:latin typeface="Calibri"/>
                <a:ea typeface="Calibri"/>
                <a:cs typeface="Calibri"/>
              </a:defRPr>
            </a:pPr>
            <a:endParaRPr lang="en-US"/>
          </a:p>
        </c:txPr>
      </c:legendEntry>
      <c:layout>
        <c:manualLayout>
          <c:xMode val="edge"/>
          <c:yMode val="edge"/>
          <c:x val="0.10571923743500866"/>
          <c:y val="0.89429175475687106"/>
          <c:w val="0.78162984392982071"/>
          <c:h val="6.342494714587732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14</xdr:row>
      <xdr:rowOff>19050</xdr:rowOff>
    </xdr:from>
    <xdr:to>
      <xdr:col>3</xdr:col>
      <xdr:colOff>1457325</xdr:colOff>
      <xdr:row>38</xdr:row>
      <xdr:rowOff>123825</xdr:rowOff>
    </xdr:to>
    <xdr:graphicFrame macro="">
      <xdr:nvGraphicFramePr>
        <xdr:cNvPr id="238822" name="Chart 1" descr="Pie chart which shows the share of income sources discounted for this project.">
          <a:extLst>
            <a:ext uri="{FF2B5EF4-FFF2-40B4-BE49-F238E27FC236}">
              <a16:creationId xmlns:a16="http://schemas.microsoft.com/office/drawing/2014/main" id="{00000000-0008-0000-0300-0000E6A4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1352550</xdr:colOff>
      <xdr:row>58</xdr:row>
      <xdr:rowOff>139700</xdr:rowOff>
    </xdr:to>
    <xdr:pic>
      <xdr:nvPicPr>
        <xdr:cNvPr id="90321" name="Picture 1">
          <a:extLst>
            <a:ext uri="{FF2B5EF4-FFF2-40B4-BE49-F238E27FC236}">
              <a16:creationId xmlns:a16="http://schemas.microsoft.com/office/drawing/2014/main" id="{00000000-0008-0000-0700-0000D160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09925"/>
          <a:ext cx="6496050" cy="678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woodlandcarboncode.org.uk/template-documents-and-tool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growninbritain.org/wp-content/uploads/2024/11/Hardwood-Price-size-tables-and-curves-2023-Final-071124.pdf" TargetMode="External"/><Relationship Id="rId2" Type="http://schemas.openxmlformats.org/officeDocument/2006/relationships/hyperlink" Target="https://www.forestresearch.gov.uk/tools-and-resources/statistics/statistics-by-topic/timber-statistics/timber-price-indices/?msclkid=e312047aab5b11eca44e6bb8625fc463" TargetMode="External"/><Relationship Id="rId1" Type="http://schemas.openxmlformats.org/officeDocument/2006/relationships/hyperlink" Target="https://www.forestresearch.gov.uk/tools-and-resources/fthr/forest-yield/" TargetMode="External"/><Relationship Id="rId5" Type="http://schemas.openxmlformats.org/officeDocument/2006/relationships/printerSettings" Target="../printerSettings/printerSettings6.bin"/><Relationship Id="rId4" Type="http://schemas.openxmlformats.org/officeDocument/2006/relationships/hyperlink" Target="https://www.woodlandcarboncode.org.uk/uk-land-carbon-registry/uk-carbon-pric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gov.wales/woodland-creation-grant-window-5-rules-booklet-html" TargetMode="External"/><Relationship Id="rId13" Type="http://schemas.openxmlformats.org/officeDocument/2006/relationships/printerSettings" Target="../printerSettings/printerSettings8.bin"/><Relationship Id="rId3" Type="http://schemas.openxmlformats.org/officeDocument/2006/relationships/hyperlink" Target="http://www.farmbusinesssurvey.co.uk/DataBuilder/" TargetMode="External"/><Relationship Id="rId7" Type="http://schemas.openxmlformats.org/officeDocument/2006/relationships/hyperlink" Target="https://www.gov.uk/guidance/delinked-payments-replacing-the-basic-payment-scheme" TargetMode="External"/><Relationship Id="rId12" Type="http://schemas.openxmlformats.org/officeDocument/2006/relationships/hyperlink" Target="https://www.daera-ni.gov.uk/publications/farm-incomes-northern-ireland-2004-onwards" TargetMode="External"/><Relationship Id="rId2" Type="http://schemas.openxmlformats.org/officeDocument/2006/relationships/hyperlink" Target="http://www.farmbusinesssurvey.co.uk/DataBuilder/" TargetMode="External"/><Relationship Id="rId1" Type="http://schemas.openxmlformats.org/officeDocument/2006/relationships/hyperlink" Target="http://www.farmbusinesssurvey.co.uk/DataBuilder/" TargetMode="External"/><Relationship Id="rId6" Type="http://schemas.openxmlformats.org/officeDocument/2006/relationships/hyperlink" Target="https://www.fas.scot/downloads/sf-forestry-grant-scheme-woodland-creation/" TargetMode="External"/><Relationship Id="rId11" Type="http://schemas.openxmlformats.org/officeDocument/2006/relationships/hyperlink" Target="https://www.daera-ni.gov.uk/publications/farm-incomes-northern-ireland-2004-onwards" TargetMode="External"/><Relationship Id="rId5" Type="http://schemas.openxmlformats.org/officeDocument/2006/relationships/hyperlink" Target="https://www.daera-ni.gov.uk/sites/default/files/publications/daera/Forest%20Expansion%20Scheme%20Questions%20and%20Answers%202020-2021.pdf" TargetMode="External"/><Relationship Id="rId10" Type="http://schemas.openxmlformats.org/officeDocument/2006/relationships/hyperlink" Target="https://www.gov.scot/collections/scottish-farm-business-income-fbi-annual-estimates/" TargetMode="External"/><Relationship Id="rId4" Type="http://schemas.openxmlformats.org/officeDocument/2006/relationships/hyperlink" Target="http://www.farmbusinesssurvey.co.uk/DataBuilder/" TargetMode="External"/><Relationship Id="rId9" Type="http://schemas.openxmlformats.org/officeDocument/2006/relationships/hyperlink" Target="https://www.gov.scot/collections/scottish-farm-business-income-fbi-annual-estimat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59999389629810485"/>
  </sheetPr>
  <dimension ref="A1:B10"/>
  <sheetViews>
    <sheetView tabSelected="1" zoomScaleNormal="100" workbookViewId="0"/>
  </sheetViews>
  <sheetFormatPr defaultRowHeight="13.5" x14ac:dyDescent="0.3"/>
  <cols>
    <col min="1" max="1" width="30.23046875" customWidth="1"/>
    <col min="2" max="2" width="110.15234375" style="1" customWidth="1"/>
  </cols>
  <sheetData>
    <row r="1" spans="1:2" s="56" customFormat="1" ht="50.15" customHeight="1" thickBot="1" x14ac:dyDescent="0.35">
      <c r="A1" s="250" t="s">
        <v>370</v>
      </c>
      <c r="B1" s="251"/>
    </row>
    <row r="2" spans="1:2" s="55" customFormat="1" ht="50.15" customHeight="1" thickBot="1" x14ac:dyDescent="0.35">
      <c r="A2" s="252" t="s">
        <v>342</v>
      </c>
      <c r="B2" s="253" t="s">
        <v>474</v>
      </c>
    </row>
    <row r="3" spans="1:2" s="55" customFormat="1" ht="50.15" customHeight="1" thickBot="1" x14ac:dyDescent="0.35">
      <c r="A3" s="252" t="s">
        <v>79</v>
      </c>
      <c r="B3" s="253" t="s">
        <v>265</v>
      </c>
    </row>
    <row r="4" spans="1:2" s="55" customFormat="1" ht="50.15" customHeight="1" thickBot="1" x14ac:dyDescent="0.35">
      <c r="A4" s="254" t="s">
        <v>177</v>
      </c>
      <c r="B4" s="255" t="s">
        <v>552</v>
      </c>
    </row>
    <row r="5" spans="1:2" s="55" customFormat="1" ht="50.15" customHeight="1" thickBot="1" x14ac:dyDescent="0.35">
      <c r="A5" s="254" t="s">
        <v>368</v>
      </c>
      <c r="B5" s="255" t="s">
        <v>472</v>
      </c>
    </row>
    <row r="6" spans="1:2" s="55" customFormat="1" ht="50.15" customHeight="1" thickBot="1" x14ac:dyDescent="0.35">
      <c r="A6" s="252" t="s">
        <v>344</v>
      </c>
      <c r="B6" s="255" t="s">
        <v>369</v>
      </c>
    </row>
    <row r="7" spans="1:2" s="55" customFormat="1" ht="50.15" customHeight="1" thickBot="1" x14ac:dyDescent="0.35">
      <c r="A7" s="252" t="s">
        <v>343</v>
      </c>
      <c r="B7" s="255" t="s">
        <v>266</v>
      </c>
    </row>
    <row r="8" spans="1:2" s="55" customFormat="1" ht="50.15" customHeight="1" thickBot="1" x14ac:dyDescent="0.35">
      <c r="A8" s="252" t="s">
        <v>345</v>
      </c>
      <c r="B8" s="255" t="s">
        <v>473</v>
      </c>
    </row>
    <row r="9" spans="1:2" ht="15" x14ac:dyDescent="0.3">
      <c r="A9" s="247"/>
      <c r="B9" s="249"/>
    </row>
    <row r="10" spans="1:2" s="55" customFormat="1" ht="15" x14ac:dyDescent="0.3">
      <c r="A10" s="247"/>
      <c r="B10" s="248"/>
    </row>
  </sheetData>
  <sheetProtection algorithmName="SHA-512" hashValue="gVjp12+5o8vKqOTh5ZACzkEIBmmVPCDFz5h+Vs9RKichH9CGX4fYoKqalefeCBBa0rFQVN2fO2aDweyevfe3Ow==" saltValue="Lo6/fYJaCty4kPC6+oi4Nw=="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3" tint="0.79998168889431442"/>
  </sheetPr>
  <dimension ref="A1:A7"/>
  <sheetViews>
    <sheetView zoomScaleNormal="100" workbookViewId="0"/>
  </sheetViews>
  <sheetFormatPr defaultRowHeight="13.5" x14ac:dyDescent="0.3"/>
  <cols>
    <col min="1" max="1" width="81.3828125" customWidth="1"/>
  </cols>
  <sheetData>
    <row r="1" spans="1:1" ht="20" x14ac:dyDescent="0.4">
      <c r="A1" s="798" t="s">
        <v>479</v>
      </c>
    </row>
    <row r="2" spans="1:1" ht="15.5" x14ac:dyDescent="0.35">
      <c r="A2" s="744"/>
    </row>
    <row r="3" spans="1:1" ht="49.5" customHeight="1" x14ac:dyDescent="0.35">
      <c r="A3" s="744" t="s">
        <v>527</v>
      </c>
    </row>
    <row r="4" spans="1:1" ht="15.5" x14ac:dyDescent="0.35">
      <c r="A4" s="744"/>
    </row>
    <row r="5" spans="1:1" ht="62" x14ac:dyDescent="0.35">
      <c r="A5" s="746" t="s">
        <v>528</v>
      </c>
    </row>
    <row r="6" spans="1:1" x14ac:dyDescent="0.3">
      <c r="A6" s="745"/>
    </row>
    <row r="7" spans="1:1" ht="31" x14ac:dyDescent="0.35">
      <c r="A7" s="746" t="s">
        <v>529</v>
      </c>
    </row>
  </sheetData>
  <sheetProtection algorithmName="SHA-512" hashValue="EgWhA8vRhfT9SL9fnK0ZIAhQtBNdxq87qB9r+NfFXPpXB37zI2NZosHYQM+/PwY5rRMe2Vtp+ZMobsqwTF0yYA==" saltValue="qfGbyxPWJSHKhBKz+FvrwA=="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3" tint="0.79998168889431442"/>
  </sheetPr>
  <dimension ref="A1:D21"/>
  <sheetViews>
    <sheetView workbookViewId="0">
      <selection sqref="A1:B1"/>
    </sheetView>
  </sheetViews>
  <sheetFormatPr defaultRowHeight="13.5" x14ac:dyDescent="0.3"/>
  <cols>
    <col min="1" max="1" width="14.61328125" style="19" customWidth="1"/>
    <col min="2" max="2" width="9.4609375" customWidth="1"/>
    <col min="3" max="3" width="56.84375" customWidth="1"/>
    <col min="4" max="4" width="23" style="1" customWidth="1"/>
  </cols>
  <sheetData>
    <row r="1" spans="1:4" ht="20" x14ac:dyDescent="0.4">
      <c r="A1" s="849" t="s">
        <v>526</v>
      </c>
      <c r="B1" s="836"/>
      <c r="C1" s="259"/>
      <c r="D1" s="257"/>
    </row>
    <row r="2" spans="1:4" x14ac:dyDescent="0.3">
      <c r="A2" s="791"/>
      <c r="B2" s="259"/>
      <c r="C2" s="259"/>
      <c r="D2" s="257"/>
    </row>
    <row r="3" spans="1:4" ht="29.25" customHeight="1" x14ac:dyDescent="0.3">
      <c r="A3" s="792" t="s">
        <v>481</v>
      </c>
      <c r="B3" s="793" t="s">
        <v>29</v>
      </c>
      <c r="C3" s="794" t="s">
        <v>30</v>
      </c>
      <c r="D3" s="794" t="s">
        <v>31</v>
      </c>
    </row>
    <row r="4" spans="1:4" ht="43.5" customHeight="1" x14ac:dyDescent="0.3">
      <c r="A4" s="795" t="s">
        <v>34</v>
      </c>
      <c r="B4" s="796">
        <v>1</v>
      </c>
      <c r="C4" s="705" t="s">
        <v>35</v>
      </c>
      <c r="D4" s="705" t="s">
        <v>32</v>
      </c>
    </row>
    <row r="5" spans="1:4" ht="56" customHeight="1" x14ac:dyDescent="0.3">
      <c r="A5" s="795" t="s">
        <v>33</v>
      </c>
      <c r="B5" s="796">
        <v>2.1</v>
      </c>
      <c r="C5" s="705" t="s">
        <v>480</v>
      </c>
      <c r="D5" s="705" t="s">
        <v>32</v>
      </c>
    </row>
    <row r="6" spans="1:4" ht="74" customHeight="1" x14ac:dyDescent="0.3">
      <c r="A6" s="795" t="s">
        <v>230</v>
      </c>
      <c r="B6" s="710">
        <v>2.2000000000000002</v>
      </c>
      <c r="C6" s="705" t="s">
        <v>313</v>
      </c>
      <c r="D6" s="705" t="s">
        <v>198</v>
      </c>
    </row>
    <row r="7" spans="1:4" ht="55.5" customHeight="1" x14ac:dyDescent="0.3">
      <c r="A7" s="797" t="s">
        <v>251</v>
      </c>
      <c r="B7" s="705" t="s">
        <v>253</v>
      </c>
      <c r="C7" s="705" t="s">
        <v>252</v>
      </c>
      <c r="D7" s="705" t="s">
        <v>198</v>
      </c>
    </row>
    <row r="8" spans="1:4" ht="124.5" customHeight="1" x14ac:dyDescent="0.3">
      <c r="A8" s="795" t="s">
        <v>503</v>
      </c>
      <c r="B8" s="796">
        <v>3</v>
      </c>
      <c r="C8" s="705" t="s">
        <v>499</v>
      </c>
      <c r="D8" s="705" t="s">
        <v>314</v>
      </c>
    </row>
    <row r="9" spans="1:4" x14ac:dyDescent="0.3">
      <c r="C9" s="1"/>
    </row>
    <row r="10" spans="1:4" x14ac:dyDescent="0.3">
      <c r="C10" s="1"/>
    </row>
    <row r="11" spans="1:4" x14ac:dyDescent="0.3">
      <c r="C11" s="1"/>
    </row>
    <row r="12" spans="1:4" x14ac:dyDescent="0.3">
      <c r="C12" s="1"/>
    </row>
    <row r="13" spans="1:4" x14ac:dyDescent="0.3">
      <c r="C13" s="1"/>
    </row>
    <row r="14" spans="1:4" x14ac:dyDescent="0.3">
      <c r="C14" s="1"/>
    </row>
    <row r="15" spans="1:4" x14ac:dyDescent="0.3">
      <c r="C15" s="1"/>
    </row>
    <row r="16" spans="1:4" x14ac:dyDescent="0.3">
      <c r="C16" s="1"/>
    </row>
    <row r="17" spans="3:3" x14ac:dyDescent="0.3">
      <c r="C17" s="1"/>
    </row>
    <row r="18" spans="3:3" x14ac:dyDescent="0.3">
      <c r="C18" s="1"/>
    </row>
    <row r="19" spans="3:3" x14ac:dyDescent="0.3">
      <c r="C19" s="1"/>
    </row>
    <row r="20" spans="3:3" x14ac:dyDescent="0.3">
      <c r="C20" s="1"/>
    </row>
    <row r="21" spans="3:3" x14ac:dyDescent="0.3">
      <c r="C21" s="1"/>
    </row>
  </sheetData>
  <sheetProtection algorithmName="SHA-512" hashValue="d0FvbJ2AqQCBg+G22Jd3zMCxKixpCB82OWCXCLjuUTYhDvtri285jqygfPmiG8s8l62KmrdTSc1r0lF8+jyjyw==" saltValue="RF08RVoOkP2ibs8AU6A4PQ==" spinCount="100000" sheet="1" objects="1" scenarios="1"/>
  <mergeCells count="1">
    <mergeCell ref="A1:B1"/>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tint="0.59999389629810485"/>
  </sheetPr>
  <dimension ref="A1:AE170"/>
  <sheetViews>
    <sheetView zoomScale="85" zoomScaleNormal="85" workbookViewId="0"/>
  </sheetViews>
  <sheetFormatPr defaultColWidth="9" defaultRowHeight="13.5" x14ac:dyDescent="0.3"/>
  <cols>
    <col min="1" max="1" width="50.765625" customWidth="1"/>
    <col min="2" max="2" width="22.23046875" customWidth="1"/>
    <col min="3" max="3" width="25.765625" customWidth="1"/>
    <col min="4" max="4" width="16.3828125" customWidth="1"/>
    <col min="5" max="5" width="15.84375" customWidth="1"/>
    <col min="6" max="6" width="16.15234375" customWidth="1"/>
    <col min="7" max="7" width="17.3828125" style="68" customWidth="1"/>
    <col min="8" max="8" width="18" hidden="1" customWidth="1"/>
    <col min="9" max="9" width="16.4609375" hidden="1" customWidth="1"/>
    <col min="10" max="10" width="19" hidden="1" customWidth="1"/>
    <col min="11" max="11" width="16.61328125" hidden="1" customWidth="1"/>
    <col min="12" max="12" width="19.765625" hidden="1" customWidth="1"/>
    <col min="13" max="13" width="18.23046875" hidden="1" customWidth="1"/>
    <col min="14" max="14" width="16.61328125" hidden="1" customWidth="1"/>
    <col min="15" max="19" width="20.61328125" hidden="1" customWidth="1"/>
    <col min="20" max="20" width="17" hidden="1" customWidth="1"/>
    <col min="21" max="21" width="17.15234375" hidden="1" customWidth="1"/>
    <col min="22" max="22" width="17.23046875" hidden="1" customWidth="1"/>
    <col min="23" max="23" width="15.765625" hidden="1" customWidth="1"/>
    <col min="24" max="25" width="15.61328125" hidden="1" customWidth="1"/>
    <col min="26" max="26" width="15.15234375" hidden="1" customWidth="1"/>
    <col min="27" max="27" width="13.4609375" hidden="1" customWidth="1"/>
    <col min="28" max="28" width="10.61328125" hidden="1" customWidth="1"/>
    <col min="29" max="29" width="10.15234375" style="24" hidden="1" customWidth="1"/>
    <col min="30" max="31" width="9" hidden="1" customWidth="1"/>
    <col min="32" max="33" width="9" customWidth="1"/>
  </cols>
  <sheetData>
    <row r="1" spans="1:29" ht="17.5" x14ac:dyDescent="0.35">
      <c r="A1" s="256" t="s">
        <v>276</v>
      </c>
      <c r="B1" s="821" t="s">
        <v>286</v>
      </c>
      <c r="C1" s="822"/>
      <c r="D1" s="257"/>
      <c r="E1" s="257"/>
      <c r="F1" s="257"/>
      <c r="G1" s="258"/>
      <c r="H1" s="164" t="s">
        <v>116</v>
      </c>
      <c r="I1" s="68"/>
    </row>
    <row r="2" spans="1:29" x14ac:dyDescent="0.3">
      <c r="A2" s="259"/>
      <c r="B2" s="259"/>
      <c r="C2" s="260"/>
      <c r="D2" s="257"/>
      <c r="E2" s="257"/>
      <c r="F2" s="257"/>
      <c r="G2" s="258"/>
      <c r="H2" s="212" t="s">
        <v>195</v>
      </c>
      <c r="AB2" s="24"/>
      <c r="AC2"/>
    </row>
    <row r="3" spans="1:29" ht="20" x14ac:dyDescent="0.4">
      <c r="A3" s="261" t="s">
        <v>294</v>
      </c>
      <c r="B3" s="259"/>
      <c r="C3" s="259"/>
      <c r="D3" s="259"/>
      <c r="E3" s="259"/>
      <c r="F3" s="257"/>
      <c r="G3" s="258"/>
      <c r="H3" s="212" t="s">
        <v>145</v>
      </c>
      <c r="AB3" s="24"/>
      <c r="AC3"/>
    </row>
    <row r="4" spans="1:29" ht="20" x14ac:dyDescent="0.4">
      <c r="A4" s="262"/>
      <c r="B4" s="259"/>
      <c r="C4" s="259"/>
      <c r="D4" s="259"/>
      <c r="E4" s="259"/>
      <c r="F4" s="257"/>
      <c r="G4" s="258"/>
      <c r="H4" s="212"/>
      <c r="AB4" s="24"/>
      <c r="AC4"/>
    </row>
    <row r="5" spans="1:29" s="2" customFormat="1" ht="20.149999999999999" customHeight="1" x14ac:dyDescent="0.3">
      <c r="A5" s="290" t="s">
        <v>275</v>
      </c>
      <c r="B5" s="291"/>
      <c r="C5" s="292"/>
      <c r="D5" s="293"/>
      <c r="E5" s="293"/>
      <c r="F5" s="293"/>
      <c r="G5" s="294"/>
      <c r="H5" s="213" t="s">
        <v>146</v>
      </c>
      <c r="AB5" s="165"/>
    </row>
    <row r="6" spans="1:29" s="2" customFormat="1" ht="20.149999999999999" customHeight="1" x14ac:dyDescent="0.3">
      <c r="A6" s="290" t="s">
        <v>58</v>
      </c>
      <c r="B6" s="295"/>
      <c r="C6" s="292"/>
      <c r="D6" s="296"/>
      <c r="E6" s="296"/>
      <c r="F6" s="296"/>
      <c r="G6" s="294"/>
      <c r="AC6" s="165"/>
    </row>
    <row r="7" spans="1:29" s="2" customFormat="1" ht="20.149999999999999" customHeight="1" x14ac:dyDescent="0.3">
      <c r="A7" s="290" t="s">
        <v>56</v>
      </c>
      <c r="B7" s="291" t="s">
        <v>504</v>
      </c>
      <c r="C7" s="297"/>
      <c r="D7" s="296"/>
      <c r="E7" s="296"/>
      <c r="F7" s="296"/>
      <c r="G7" s="294"/>
      <c r="AC7" s="165"/>
    </row>
    <row r="8" spans="1:29" s="2" customFormat="1" ht="23.15" customHeight="1" x14ac:dyDescent="0.3">
      <c r="A8" s="298" t="s">
        <v>254</v>
      </c>
      <c r="B8" s="291" t="s">
        <v>261</v>
      </c>
      <c r="C8" s="292"/>
      <c r="D8" s="292"/>
      <c r="E8" s="292"/>
      <c r="F8" s="292"/>
      <c r="G8" s="294"/>
      <c r="H8" s="80"/>
      <c r="I8" s="104"/>
      <c r="K8" s="112"/>
      <c r="L8" s="47"/>
      <c r="AC8" s="165"/>
    </row>
    <row r="9" spans="1:29" s="2" customFormat="1" ht="23.15" customHeight="1" x14ac:dyDescent="0.3">
      <c r="A9" s="298" t="s">
        <v>255</v>
      </c>
      <c r="B9" s="291" t="s">
        <v>593</v>
      </c>
      <c r="C9" s="292"/>
      <c r="D9" s="296"/>
      <c r="E9" s="296"/>
      <c r="F9" s="296"/>
      <c r="G9" s="294"/>
      <c r="H9" s="80"/>
      <c r="AC9" s="165"/>
    </row>
    <row r="10" spans="1:29" s="2" customFormat="1" ht="20.149999999999999" customHeight="1" x14ac:dyDescent="0.3">
      <c r="A10" s="290" t="s">
        <v>270</v>
      </c>
      <c r="B10" s="299">
        <v>0</v>
      </c>
      <c r="C10" s="292"/>
      <c r="D10" s="296"/>
      <c r="E10" s="296"/>
      <c r="F10" s="296"/>
      <c r="G10" s="294"/>
      <c r="AC10" s="165"/>
    </row>
    <row r="11" spans="1:29" s="2" customFormat="1" ht="29.15" customHeight="1" x14ac:dyDescent="0.3">
      <c r="A11" s="298" t="s">
        <v>371</v>
      </c>
      <c r="B11" s="300">
        <f>B10/90*100</f>
        <v>0</v>
      </c>
      <c r="C11" s="292"/>
      <c r="D11" s="296"/>
      <c r="E11" s="296"/>
      <c r="F11" s="296"/>
      <c r="G11" s="294"/>
      <c r="H11" s="80"/>
      <c r="I11" s="104"/>
      <c r="K11" s="112"/>
      <c r="AC11" s="165"/>
    </row>
    <row r="12" spans="1:29" s="2" customFormat="1" ht="20.149999999999999" customHeight="1" x14ac:dyDescent="0.3">
      <c r="A12" s="290" t="s">
        <v>271</v>
      </c>
      <c r="B12" s="295"/>
      <c r="C12" s="289" t="s">
        <v>508</v>
      </c>
      <c r="D12" s="301"/>
      <c r="E12" s="301"/>
      <c r="F12" s="301"/>
      <c r="G12" s="302"/>
      <c r="AC12" s="165"/>
    </row>
    <row r="13" spans="1:29" s="2" customFormat="1" ht="20.149999999999999" customHeight="1" x14ac:dyDescent="0.3">
      <c r="A13" s="290" t="s">
        <v>272</v>
      </c>
      <c r="B13" s="291">
        <v>100</v>
      </c>
      <c r="C13" s="292"/>
      <c r="D13" s="296"/>
      <c r="E13" s="296"/>
      <c r="F13" s="296"/>
      <c r="G13" s="294"/>
      <c r="AC13" s="165"/>
    </row>
    <row r="14" spans="1:29" s="2" customFormat="1" ht="20.149999999999999" customHeight="1" x14ac:dyDescent="0.3">
      <c r="A14" s="290" t="s">
        <v>273</v>
      </c>
      <c r="B14" s="303"/>
      <c r="C14" s="304"/>
      <c r="D14" s="305"/>
      <c r="E14" s="305"/>
      <c r="F14" s="305"/>
      <c r="G14" s="302"/>
      <c r="AC14" s="165"/>
    </row>
    <row r="15" spans="1:29" s="2" customFormat="1" ht="20.149999999999999" customHeight="1" x14ac:dyDescent="0.3">
      <c r="A15" s="290" t="s">
        <v>274</v>
      </c>
      <c r="B15" s="291"/>
      <c r="C15" s="306"/>
      <c r="D15" s="307"/>
      <c r="E15" s="307"/>
      <c r="F15" s="307"/>
      <c r="G15" s="302"/>
      <c r="AC15" s="165"/>
    </row>
    <row r="16" spans="1:29" s="2" customFormat="1" ht="20.149999999999999" customHeight="1" x14ac:dyDescent="0.3">
      <c r="A16" s="290" t="s">
        <v>240</v>
      </c>
      <c r="B16" s="291" t="s">
        <v>250</v>
      </c>
      <c r="C16" s="292"/>
      <c r="D16" s="296"/>
      <c r="E16" s="296"/>
      <c r="F16" s="296"/>
      <c r="G16" s="294"/>
      <c r="H16" s="80"/>
      <c r="AC16" s="165"/>
    </row>
    <row r="17" spans="1:29" s="104" customFormat="1" ht="28.5" customHeight="1" x14ac:dyDescent="0.3">
      <c r="A17" s="298" t="s">
        <v>507</v>
      </c>
      <c r="B17" s="308" t="s">
        <v>504</v>
      </c>
      <c r="C17" s="296"/>
      <c r="D17" s="296"/>
      <c r="E17" s="296"/>
      <c r="F17" s="296"/>
      <c r="G17" s="309"/>
      <c r="H17" s="166"/>
      <c r="AC17" s="204"/>
    </row>
    <row r="18" spans="1:29" s="2" customFormat="1" ht="14" x14ac:dyDescent="0.3">
      <c r="A18" s="310"/>
      <c r="B18" s="292"/>
      <c r="C18" s="292"/>
      <c r="D18" s="296"/>
      <c r="E18" s="296"/>
      <c r="F18" s="296"/>
      <c r="G18" s="294"/>
      <c r="H18" s="80"/>
      <c r="AC18" s="165"/>
    </row>
    <row r="19" spans="1:29" s="2" customFormat="1" ht="20" x14ac:dyDescent="0.3">
      <c r="A19" s="266" t="s">
        <v>372</v>
      </c>
      <c r="B19" s="263"/>
      <c r="C19" s="263"/>
      <c r="D19" s="265"/>
      <c r="E19" s="265"/>
      <c r="F19" s="265"/>
      <c r="G19" s="264"/>
      <c r="H19" s="80"/>
      <c r="AC19" s="165"/>
    </row>
    <row r="20" spans="1:29" s="2" customFormat="1" ht="19.5" customHeight="1" x14ac:dyDescent="0.3">
      <c r="A20" s="310"/>
      <c r="B20" s="292"/>
      <c r="C20" s="292"/>
      <c r="D20" s="296"/>
      <c r="E20" s="296"/>
      <c r="F20" s="296"/>
      <c r="G20" s="294"/>
      <c r="H20" s="108" t="s">
        <v>257</v>
      </c>
      <c r="AC20" s="165"/>
    </row>
    <row r="21" spans="1:29" s="2" customFormat="1" ht="14" x14ac:dyDescent="0.3">
      <c r="A21" s="310" t="s">
        <v>295</v>
      </c>
      <c r="B21" s="292"/>
      <c r="C21" s="292"/>
      <c r="D21" s="296"/>
      <c r="E21" s="296"/>
      <c r="F21" s="296"/>
      <c r="G21" s="294"/>
      <c r="H21" s="167">
        <v>34465</v>
      </c>
      <c r="AC21" s="165"/>
    </row>
    <row r="22" spans="1:29" s="2" customFormat="1" ht="20.149999999999999" customHeight="1" x14ac:dyDescent="0.3">
      <c r="A22" s="290" t="s">
        <v>280</v>
      </c>
      <c r="B22" s="311" t="s">
        <v>256</v>
      </c>
      <c r="C22" s="312" t="s">
        <v>509</v>
      </c>
      <c r="D22" s="313"/>
      <c r="E22" s="313"/>
      <c r="F22" s="314"/>
      <c r="G22" s="294"/>
      <c r="H22" s="167">
        <f>IF(B10&lt;=10,'Cost data'!C4,'Cost data'!C5*B10)</f>
        <v>1695</v>
      </c>
      <c r="I22" s="168">
        <f>IF(H22&gt;H21,H21,H22)</f>
        <v>1695</v>
      </c>
      <c r="AC22" s="165"/>
    </row>
    <row r="23" spans="1:29" s="2" customFormat="1" ht="20.149999999999999" customHeight="1" x14ac:dyDescent="0.3">
      <c r="A23" s="292"/>
      <c r="B23" s="315"/>
      <c r="C23" s="316"/>
      <c r="D23" s="296"/>
      <c r="E23" s="296"/>
      <c r="F23" s="296"/>
      <c r="G23" s="294"/>
      <c r="H23" s="80"/>
      <c r="AC23" s="165"/>
    </row>
    <row r="24" spans="1:29" s="80" customFormat="1" ht="20.25" customHeight="1" x14ac:dyDescent="0.3">
      <c r="A24" s="310" t="s">
        <v>296</v>
      </c>
      <c r="B24" s="292"/>
      <c r="C24" s="292"/>
      <c r="D24" s="296"/>
      <c r="E24" s="296"/>
      <c r="F24" s="296"/>
      <c r="G24" s="294"/>
      <c r="AC24" s="198"/>
    </row>
    <row r="25" spans="1:29" s="2" customFormat="1" ht="27" customHeight="1" x14ac:dyDescent="0.3">
      <c r="A25" s="317" t="s">
        <v>147</v>
      </c>
      <c r="B25" s="318" t="s">
        <v>281</v>
      </c>
      <c r="C25" s="319" t="s">
        <v>241</v>
      </c>
      <c r="D25" s="310"/>
      <c r="E25" s="310"/>
      <c r="F25" s="310"/>
      <c r="G25" s="294"/>
      <c r="H25" s="86" t="s">
        <v>148</v>
      </c>
      <c r="I25" s="86" t="s">
        <v>144</v>
      </c>
      <c r="K25" s="80"/>
      <c r="AC25" s="165"/>
    </row>
    <row r="26" spans="1:29" s="2" customFormat="1" ht="20.149999999999999" customHeight="1" x14ac:dyDescent="0.3">
      <c r="A26" s="290" t="s">
        <v>268</v>
      </c>
      <c r="B26" s="320">
        <v>0</v>
      </c>
      <c r="C26" s="818" t="s">
        <v>510</v>
      </c>
      <c r="D26" s="292"/>
      <c r="E26" s="292"/>
      <c r="F26" s="292"/>
      <c r="G26" s="294"/>
      <c r="H26" s="169">
        <f>B26*'Cost data'!C30</f>
        <v>0</v>
      </c>
      <c r="I26" s="169">
        <f>B26*'Cost data'!$C$42</f>
        <v>0</v>
      </c>
      <c r="K26" s="80"/>
      <c r="AC26" s="165"/>
    </row>
    <row r="27" spans="1:29" s="2" customFormat="1" ht="20.149999999999999" customHeight="1" x14ac:dyDescent="0.3">
      <c r="A27" s="321" t="s">
        <v>269</v>
      </c>
      <c r="B27" s="322">
        <v>0</v>
      </c>
      <c r="C27" s="819"/>
      <c r="D27" s="292"/>
      <c r="E27" s="292"/>
      <c r="F27" s="292"/>
      <c r="G27" s="294"/>
      <c r="H27" s="169">
        <f>IF(B27&lt;=1585,'Cost data'!C31*B27,'Cost data'!C31*1585+(B27-1585)*'Cost data'!C32)</f>
        <v>0</v>
      </c>
      <c r="I27" s="169">
        <f>B27*'Cost data'!$C$42</f>
        <v>0</v>
      </c>
      <c r="K27" s="80"/>
      <c r="AC27" s="165"/>
    </row>
    <row r="28" spans="1:29" s="2" customFormat="1" ht="20.149999999999999" customHeight="1" x14ac:dyDescent="0.3">
      <c r="A28" s="290" t="s">
        <v>202</v>
      </c>
      <c r="B28" s="320">
        <v>0</v>
      </c>
      <c r="C28" s="819"/>
      <c r="D28" s="292"/>
      <c r="E28" s="292"/>
      <c r="F28" s="292"/>
      <c r="G28" s="294"/>
      <c r="H28" s="169">
        <f>B28*'Cost data'!C36</f>
        <v>0</v>
      </c>
      <c r="I28" s="169">
        <f>B28*'Cost data'!C42</f>
        <v>0</v>
      </c>
      <c r="K28" s="80"/>
      <c r="AC28" s="165"/>
    </row>
    <row r="29" spans="1:29" s="2" customFormat="1" ht="20.149999999999999" customHeight="1" x14ac:dyDescent="0.3">
      <c r="A29" s="290" t="s">
        <v>66</v>
      </c>
      <c r="B29" s="320">
        <v>0</v>
      </c>
      <c r="C29" s="819"/>
      <c r="D29" s="292"/>
      <c r="E29" s="292"/>
      <c r="F29" s="292"/>
      <c r="G29" s="294"/>
      <c r="H29" s="169">
        <f>B29*'Cost data'!C33</f>
        <v>0</v>
      </c>
      <c r="I29" s="171"/>
      <c r="K29" s="80"/>
      <c r="AC29" s="165"/>
    </row>
    <row r="30" spans="1:29" s="2" customFormat="1" ht="20.149999999999999" customHeight="1" x14ac:dyDescent="0.3">
      <c r="A30" s="317" t="s">
        <v>475</v>
      </c>
      <c r="B30" s="850">
        <f>B26+B27+B28</f>
        <v>0</v>
      </c>
      <c r="C30" s="820"/>
      <c r="D30" s="292"/>
      <c r="E30" s="292"/>
      <c r="F30" s="292"/>
      <c r="G30" s="294"/>
      <c r="H30" s="169"/>
      <c r="I30" s="171"/>
      <c r="K30" s="80"/>
      <c r="AC30" s="165"/>
    </row>
    <row r="31" spans="1:29" s="2" customFormat="1" ht="41.15" customHeight="1" x14ac:dyDescent="0.3">
      <c r="A31" s="298" t="s">
        <v>505</v>
      </c>
      <c r="B31" s="320">
        <v>0</v>
      </c>
      <c r="C31" s="323">
        <f>IF(B32&lt;=C32,40*B10-B32,0)</f>
        <v>0</v>
      </c>
      <c r="D31" s="815" t="s">
        <v>511</v>
      </c>
      <c r="E31" s="816"/>
      <c r="F31" s="292"/>
      <c r="G31" s="294"/>
      <c r="H31" s="169">
        <f>'Cost data'!C38*B31</f>
        <v>0</v>
      </c>
      <c r="I31" s="169">
        <f>B31*'Cost data'!C44</f>
        <v>0</v>
      </c>
      <c r="J31" s="80"/>
      <c r="K31" s="80"/>
      <c r="AC31" s="165"/>
    </row>
    <row r="32" spans="1:29" s="2" customFormat="1" ht="20.149999999999999" customHeight="1" x14ac:dyDescent="0.3">
      <c r="A32" s="290" t="s">
        <v>287</v>
      </c>
      <c r="B32" s="320">
        <v>0</v>
      </c>
      <c r="C32" s="326">
        <f>20*B10</f>
        <v>0</v>
      </c>
      <c r="D32" s="815" t="s">
        <v>512</v>
      </c>
      <c r="E32" s="815"/>
      <c r="F32" s="292"/>
      <c r="G32" s="294"/>
      <c r="H32" s="169">
        <f>B32*'Cost data'!C37</f>
        <v>0</v>
      </c>
      <c r="I32" s="169">
        <f>B32*'Cost data'!C43</f>
        <v>0</v>
      </c>
      <c r="K32" s="80"/>
      <c r="L32" s="113"/>
      <c r="AC32" s="165"/>
    </row>
    <row r="33" spans="1:29" s="2" customFormat="1" ht="20.149999999999999" customHeight="1" x14ac:dyDescent="0.3">
      <c r="A33" s="317" t="s">
        <v>176</v>
      </c>
      <c r="B33" s="318" t="s">
        <v>175</v>
      </c>
      <c r="C33" s="327"/>
      <c r="D33" s="310"/>
      <c r="E33" s="310"/>
      <c r="F33" s="292"/>
      <c r="G33" s="294"/>
      <c r="H33" s="170" t="s">
        <v>219</v>
      </c>
      <c r="I33" s="170" t="s">
        <v>220</v>
      </c>
      <c r="J33" s="172"/>
      <c r="K33" s="80"/>
      <c r="AC33" s="165"/>
    </row>
    <row r="34" spans="1:29" s="2" customFormat="1" ht="20.149999999999999" customHeight="1" x14ac:dyDescent="0.3">
      <c r="A34" s="290" t="str">
        <f>'Cost data'!B34</f>
        <v>Vehicle access gates</v>
      </c>
      <c r="B34" s="320">
        <v>0</v>
      </c>
      <c r="C34" s="328"/>
      <c r="D34" s="292"/>
      <c r="E34" s="292"/>
      <c r="F34" s="292"/>
      <c r="G34" s="294"/>
      <c r="H34" s="169">
        <f>B34*'Cost data'!C34</f>
        <v>0</v>
      </c>
      <c r="I34" s="169">
        <f>B34*'Cost data'!C45</f>
        <v>0</v>
      </c>
      <c r="K34" s="80"/>
      <c r="AC34" s="165"/>
    </row>
    <row r="35" spans="1:29" s="2" customFormat="1" ht="20.149999999999999" customHeight="1" x14ac:dyDescent="0.3">
      <c r="A35" s="290" t="str">
        <f>'Cost data'!B35</f>
        <v>Pedestrian gates</v>
      </c>
      <c r="B35" s="320">
        <v>0</v>
      </c>
      <c r="C35" s="329"/>
      <c r="D35" s="292"/>
      <c r="E35" s="292"/>
      <c r="F35" s="292"/>
      <c r="G35" s="294"/>
      <c r="H35" s="169">
        <f>B35*'Cost data'!C35</f>
        <v>0</v>
      </c>
      <c r="I35" s="169">
        <f>B35*'Cost data'!C46</f>
        <v>0</v>
      </c>
      <c r="K35" s="80"/>
      <c r="AC35" s="165"/>
    </row>
    <row r="36" spans="1:29" s="2" customFormat="1" ht="20.149999999999999" customHeight="1" x14ac:dyDescent="0.3">
      <c r="A36" s="317" t="s">
        <v>216</v>
      </c>
      <c r="B36" s="317"/>
      <c r="C36" s="318" t="s">
        <v>117</v>
      </c>
      <c r="D36" s="330"/>
      <c r="E36" s="330"/>
      <c r="F36" s="292"/>
      <c r="G36" s="294"/>
      <c r="H36" s="78" t="s">
        <v>219</v>
      </c>
      <c r="I36" s="173"/>
      <c r="K36" s="80"/>
      <c r="AC36" s="165"/>
    </row>
    <row r="37" spans="1:29" s="2" customFormat="1" ht="20.149999999999999" customHeight="1" x14ac:dyDescent="0.3">
      <c r="A37" s="290" t="s">
        <v>242</v>
      </c>
      <c r="B37" s="291" t="s">
        <v>504</v>
      </c>
      <c r="C37" s="291">
        <v>0</v>
      </c>
      <c r="D37" s="815" t="s">
        <v>513</v>
      </c>
      <c r="E37" s="816"/>
      <c r="F37" s="816"/>
      <c r="G37" s="294"/>
      <c r="H37" s="174">
        <f>IF(B37="Yes",C37*'Cost data'!C27,0)</f>
        <v>0</v>
      </c>
      <c r="AC37" s="165"/>
    </row>
    <row r="38" spans="1:29" s="2" customFormat="1" ht="15" customHeight="1" x14ac:dyDescent="0.3">
      <c r="A38" s="331"/>
      <c r="B38" s="292"/>
      <c r="C38" s="315"/>
      <c r="D38" s="292"/>
      <c r="E38" s="292"/>
      <c r="F38" s="292"/>
      <c r="G38" s="294"/>
      <c r="H38" s="104"/>
      <c r="J38" s="80"/>
      <c r="K38" s="80"/>
      <c r="AC38" s="165"/>
    </row>
    <row r="39" spans="1:29" s="2" customFormat="1" ht="15" customHeight="1" x14ac:dyDescent="0.3">
      <c r="A39" s="332" t="s">
        <v>297</v>
      </c>
      <c r="B39" s="292"/>
      <c r="C39" s="292"/>
      <c r="D39" s="292"/>
      <c r="E39" s="292"/>
      <c r="F39" s="292"/>
      <c r="G39" s="294"/>
      <c r="H39" s="104"/>
      <c r="J39" s="80"/>
      <c r="K39" s="80"/>
      <c r="AC39" s="165"/>
    </row>
    <row r="40" spans="1:29" s="2" customFormat="1" ht="20.149999999999999" customHeight="1" x14ac:dyDescent="0.3">
      <c r="A40" s="267"/>
      <c r="B40" s="333" t="s">
        <v>117</v>
      </c>
      <c r="C40" s="292"/>
      <c r="D40" s="292"/>
      <c r="E40" s="292"/>
      <c r="F40" s="292"/>
      <c r="G40" s="294"/>
      <c r="H40" s="175" t="s">
        <v>191</v>
      </c>
      <c r="J40" s="80"/>
      <c r="K40" s="80"/>
      <c r="AC40" s="165"/>
    </row>
    <row r="41" spans="1:29" s="2" customFormat="1" ht="20.149999999999999" customHeight="1" x14ac:dyDescent="0.3">
      <c r="A41" s="334" t="s">
        <v>141</v>
      </c>
      <c r="B41" s="299">
        <v>0</v>
      </c>
      <c r="C41" s="292"/>
      <c r="D41" s="292"/>
      <c r="E41" s="292"/>
      <c r="F41" s="292"/>
      <c r="G41" s="294"/>
      <c r="H41" s="175"/>
      <c r="J41" s="80"/>
      <c r="K41" s="80"/>
      <c r="AC41" s="165"/>
    </row>
    <row r="42" spans="1:29" s="2" customFormat="1" ht="20.149999999999999" customHeight="1" x14ac:dyDescent="0.3">
      <c r="A42" s="334" t="str">
        <f>'Cost data'!B6</f>
        <v>Scrub control less than 7cm dbh</v>
      </c>
      <c r="B42" s="299">
        <v>0</v>
      </c>
      <c r="C42" s="292"/>
      <c r="D42" s="292"/>
      <c r="E42" s="292"/>
      <c r="F42" s="292"/>
      <c r="G42" s="294"/>
      <c r="H42" s="176">
        <f>B42*'Cost data'!C6</f>
        <v>0</v>
      </c>
      <c r="J42" s="80"/>
      <c r="K42" s="80"/>
      <c r="AC42" s="165"/>
    </row>
    <row r="43" spans="1:29" s="2" customFormat="1" ht="20.149999999999999" customHeight="1" x14ac:dyDescent="0.3">
      <c r="A43" s="334" t="str">
        <f>'Cost data'!B7</f>
        <v>Bracken control</v>
      </c>
      <c r="B43" s="299">
        <v>0</v>
      </c>
      <c r="C43" s="292"/>
      <c r="D43" s="292"/>
      <c r="E43" s="292"/>
      <c r="F43" s="292"/>
      <c r="G43" s="294"/>
      <c r="H43" s="176">
        <f>B43*'Cost data'!C7</f>
        <v>0</v>
      </c>
      <c r="J43" s="80"/>
      <c r="K43" s="80"/>
      <c r="AC43" s="165"/>
    </row>
    <row r="44" spans="1:29" s="2" customFormat="1" ht="20.149999999999999" customHeight="1" thickBot="1" x14ac:dyDescent="0.35">
      <c r="A44" s="335" t="str">
        <f>'Cost data'!B8</f>
        <v>Gorse removal</v>
      </c>
      <c r="B44" s="336">
        <v>0</v>
      </c>
      <c r="C44" s="292"/>
      <c r="D44" s="292"/>
      <c r="E44" s="292"/>
      <c r="F44" s="292"/>
      <c r="G44" s="294"/>
      <c r="H44" s="176">
        <f>B44*'Cost data'!C8</f>
        <v>0</v>
      </c>
      <c r="J44" s="80"/>
      <c r="K44" s="80"/>
      <c r="AC44" s="165"/>
    </row>
    <row r="45" spans="1:29" s="2" customFormat="1" ht="20.149999999999999" customHeight="1" thickTop="1" thickBot="1" x14ac:dyDescent="0.35">
      <c r="A45" s="337" t="s">
        <v>7</v>
      </c>
      <c r="B45" s="851">
        <f>SUM(B41:B44)</f>
        <v>0</v>
      </c>
      <c r="C45" s="338" t="s">
        <v>514</v>
      </c>
      <c r="D45" s="292"/>
      <c r="E45" s="292"/>
      <c r="F45" s="292"/>
      <c r="G45" s="294"/>
      <c r="H45" s="177">
        <f>SUM(H42:H44)</f>
        <v>0</v>
      </c>
      <c r="J45" s="80"/>
      <c r="K45" s="80"/>
      <c r="AC45" s="165"/>
    </row>
    <row r="46" spans="1:29" s="2" customFormat="1" ht="15" customHeight="1" thickTop="1" x14ac:dyDescent="0.3">
      <c r="A46" s="331"/>
      <c r="B46" s="292"/>
      <c r="C46" s="292"/>
      <c r="D46" s="292"/>
      <c r="E46" s="292"/>
      <c r="F46" s="292"/>
      <c r="G46" s="294"/>
      <c r="H46" s="104"/>
      <c r="J46" s="80"/>
      <c r="K46" s="80"/>
      <c r="AC46" s="165"/>
    </row>
    <row r="47" spans="1:29" s="2" customFormat="1" ht="15.75" customHeight="1" x14ac:dyDescent="0.3">
      <c r="A47" s="332" t="s">
        <v>305</v>
      </c>
      <c r="B47" s="292"/>
      <c r="C47" s="292"/>
      <c r="D47" s="292"/>
      <c r="E47" s="292"/>
      <c r="F47" s="292"/>
      <c r="G47" s="294"/>
      <c r="H47" s="86" t="s">
        <v>148</v>
      </c>
      <c r="I47" s="170" t="s">
        <v>220</v>
      </c>
      <c r="AC47" s="165"/>
    </row>
    <row r="48" spans="1:29" s="2" customFormat="1" ht="20.149999999999999" customHeight="1" x14ac:dyDescent="0.3">
      <c r="A48" s="267"/>
      <c r="B48" s="333" t="s">
        <v>117</v>
      </c>
      <c r="C48" s="339"/>
      <c r="D48" s="339"/>
      <c r="E48" s="339"/>
      <c r="F48" s="292"/>
      <c r="G48" s="294"/>
      <c r="H48" s="178" t="s">
        <v>143</v>
      </c>
      <c r="I48" s="179"/>
      <c r="AC48" s="165"/>
    </row>
    <row r="49" spans="1:29" s="2" customFormat="1" ht="20.149999999999999" customHeight="1" x14ac:dyDescent="0.3">
      <c r="A49" s="334" t="s">
        <v>141</v>
      </c>
      <c r="B49" s="299">
        <v>0</v>
      </c>
      <c r="C49" s="340"/>
      <c r="D49" s="340"/>
      <c r="E49" s="340"/>
      <c r="F49" s="292"/>
      <c r="G49" s="294"/>
      <c r="H49" s="169">
        <f>B49*'Cost data'!C9</f>
        <v>0</v>
      </c>
      <c r="I49" s="112"/>
      <c r="AC49" s="165"/>
    </row>
    <row r="50" spans="1:29" s="2" customFormat="1" ht="20.149999999999999" customHeight="1" x14ac:dyDescent="0.3">
      <c r="A50" s="334" t="s">
        <v>118</v>
      </c>
      <c r="B50" s="299">
        <v>0</v>
      </c>
      <c r="C50" s="340"/>
      <c r="D50" s="340"/>
      <c r="E50" s="340"/>
      <c r="F50" s="292"/>
      <c r="G50" s="294"/>
      <c r="H50" s="169">
        <f>B50*'Cost data'!C10</f>
        <v>0</v>
      </c>
      <c r="I50" s="112"/>
      <c r="AC50" s="165"/>
    </row>
    <row r="51" spans="1:29" s="2" customFormat="1" ht="20.149999999999999" customHeight="1" x14ac:dyDescent="0.3">
      <c r="A51" s="334" t="s">
        <v>119</v>
      </c>
      <c r="B51" s="299">
        <v>0</v>
      </c>
      <c r="C51" s="340"/>
      <c r="D51" s="340"/>
      <c r="E51" s="340"/>
      <c r="F51" s="292"/>
      <c r="G51" s="294"/>
      <c r="H51" s="169">
        <f>B51*'Cost data'!C11</f>
        <v>0</v>
      </c>
      <c r="I51" s="112"/>
      <c r="AC51" s="165"/>
    </row>
    <row r="52" spans="1:29" s="2" customFormat="1" ht="20.149999999999999" customHeight="1" x14ac:dyDescent="0.3">
      <c r="A52" s="334" t="s">
        <v>120</v>
      </c>
      <c r="B52" s="299">
        <v>0</v>
      </c>
      <c r="C52" s="340"/>
      <c r="D52" s="340"/>
      <c r="E52" s="340"/>
      <c r="F52" s="292"/>
      <c r="G52" s="294"/>
      <c r="H52" s="169">
        <f>B52*'Cost data'!C12</f>
        <v>0</v>
      </c>
      <c r="I52" s="112"/>
      <c r="AC52" s="165"/>
    </row>
    <row r="53" spans="1:29" s="2" customFormat="1" ht="20.149999999999999" customHeight="1" thickBot="1" x14ac:dyDescent="0.35">
      <c r="A53" s="335" t="s">
        <v>121</v>
      </c>
      <c r="B53" s="336">
        <v>0</v>
      </c>
      <c r="C53" s="340"/>
      <c r="D53" s="340"/>
      <c r="E53" s="340"/>
      <c r="F53" s="292"/>
      <c r="G53" s="294"/>
      <c r="H53" s="169">
        <f>B53*'Cost data'!C13</f>
        <v>0</v>
      </c>
      <c r="I53" s="112"/>
      <c r="AC53" s="165"/>
    </row>
    <row r="54" spans="1:29" s="2" customFormat="1" ht="20.149999999999999" customHeight="1" thickTop="1" thickBot="1" x14ac:dyDescent="0.35">
      <c r="A54" s="341" t="s">
        <v>7</v>
      </c>
      <c r="B54" s="851">
        <f>SUM(B49:B53)</f>
        <v>0</v>
      </c>
      <c r="C54" s="884" t="s">
        <v>514</v>
      </c>
      <c r="D54" s="340"/>
      <c r="E54" s="340"/>
      <c r="F54" s="292"/>
      <c r="G54" s="294"/>
      <c r="H54" s="180">
        <f>SUM(H49:H53)</f>
        <v>0</v>
      </c>
      <c r="I54" s="181"/>
      <c r="AC54" s="165"/>
    </row>
    <row r="55" spans="1:29" s="2" customFormat="1" ht="20.149999999999999" customHeight="1" thickTop="1" x14ac:dyDescent="0.3">
      <c r="A55" s="342" t="s">
        <v>122</v>
      </c>
      <c r="B55" s="343">
        <v>0</v>
      </c>
      <c r="C55" s="883" t="s">
        <v>551</v>
      </c>
      <c r="D55" s="885"/>
      <c r="E55" s="344"/>
      <c r="F55" s="292"/>
      <c r="G55" s="294"/>
      <c r="H55" s="169">
        <f>B55*'Cost data'!C14</f>
        <v>0</v>
      </c>
      <c r="I55" s="169">
        <f>B55*'Cost data'!C41</f>
        <v>0</v>
      </c>
      <c r="J55" s="80"/>
      <c r="AC55" s="165"/>
    </row>
    <row r="56" spans="1:29" s="2" customFormat="1" ht="14" x14ac:dyDescent="0.3">
      <c r="A56" s="292"/>
      <c r="B56" s="292"/>
      <c r="C56" s="292"/>
      <c r="D56" s="292"/>
      <c r="E56" s="292"/>
      <c r="F56" s="292"/>
      <c r="G56" s="294"/>
      <c r="AC56" s="165"/>
    </row>
    <row r="57" spans="1:29" s="2" customFormat="1" ht="20.5" customHeight="1" x14ac:dyDescent="0.3">
      <c r="A57" s="310" t="s">
        <v>298</v>
      </c>
      <c r="B57" s="292"/>
      <c r="C57" s="292"/>
      <c r="D57" s="345"/>
      <c r="E57" s="345"/>
      <c r="F57" s="346"/>
      <c r="G57" s="294"/>
      <c r="AC57" s="165"/>
    </row>
    <row r="58" spans="1:29" s="104" customFormat="1" ht="49" customHeight="1" x14ac:dyDescent="0.3">
      <c r="A58" s="347" t="s">
        <v>57</v>
      </c>
      <c r="B58" s="348" t="s">
        <v>288</v>
      </c>
      <c r="C58" s="348" t="s">
        <v>500</v>
      </c>
      <c r="D58" s="348" t="s">
        <v>501</v>
      </c>
      <c r="E58" s="348" t="s">
        <v>502</v>
      </c>
      <c r="F58" s="349" t="s">
        <v>267</v>
      </c>
      <c r="G58" s="349" t="s">
        <v>289</v>
      </c>
      <c r="H58" s="185" t="s">
        <v>97</v>
      </c>
      <c r="I58" s="108" t="s">
        <v>80</v>
      </c>
      <c r="J58" s="107" t="s">
        <v>98</v>
      </c>
      <c r="K58" s="183" t="s">
        <v>96</v>
      </c>
      <c r="L58" s="184"/>
      <c r="M58" s="183" t="s">
        <v>82</v>
      </c>
      <c r="N58" s="183" t="s">
        <v>83</v>
      </c>
      <c r="O58" s="183" t="s">
        <v>84</v>
      </c>
      <c r="P58" s="183"/>
      <c r="Q58" s="183" t="s">
        <v>92</v>
      </c>
      <c r="R58" s="183" t="s">
        <v>151</v>
      </c>
      <c r="S58" s="183" t="s">
        <v>149</v>
      </c>
      <c r="T58" s="183" t="s">
        <v>150</v>
      </c>
      <c r="U58" s="183" t="s">
        <v>91</v>
      </c>
      <c r="V58" s="183" t="s">
        <v>86</v>
      </c>
      <c r="W58" s="183" t="s">
        <v>85</v>
      </c>
      <c r="X58" s="183" t="s">
        <v>263</v>
      </c>
      <c r="Y58" s="183" t="s">
        <v>264</v>
      </c>
      <c r="Z58" s="183" t="s">
        <v>249</v>
      </c>
      <c r="AA58" s="185" t="s">
        <v>142</v>
      </c>
      <c r="AB58" s="182" t="s">
        <v>190</v>
      </c>
      <c r="AC58" s="215" t="s">
        <v>73</v>
      </c>
    </row>
    <row r="59" spans="1:29" s="2" customFormat="1" ht="20.149999999999999" customHeight="1" x14ac:dyDescent="0.3">
      <c r="A59" s="325" t="s">
        <v>476</v>
      </c>
      <c r="B59" s="299">
        <v>0</v>
      </c>
      <c r="C59" s="350">
        <v>2</v>
      </c>
      <c r="D59" s="351">
        <v>0</v>
      </c>
      <c r="E59" s="351">
        <v>0</v>
      </c>
      <c r="F59" s="351">
        <v>0</v>
      </c>
      <c r="G59" s="351">
        <v>0</v>
      </c>
      <c r="H59" s="186">
        <f>B59*'Income data'!E5</f>
        <v>0</v>
      </c>
      <c r="I59" s="187">
        <f>H59*'Income data'!F5</f>
        <v>0</v>
      </c>
      <c r="J59" s="187" t="e">
        <f>I59/B59</f>
        <v>#DIV/0!</v>
      </c>
      <c r="K59" s="188">
        <f>IF(B13&gt;38,IF(B13&gt;76,(B13-76)/38*I59,(B13-38)/38*I59),B13/38*I59)</f>
        <v>0</v>
      </c>
      <c r="L59" s="110"/>
      <c r="M59" s="189">
        <f>B59*(100/C59)^2</f>
        <v>0</v>
      </c>
      <c r="N59" s="112">
        <f>M59*'Cost data'!C15</f>
        <v>0</v>
      </c>
      <c r="O59" s="112">
        <f>M59*'Cost data'!C18</f>
        <v>0</v>
      </c>
      <c r="P59" s="112"/>
      <c r="Q59" s="112">
        <f>SUM(N59:O59)</f>
        <v>0</v>
      </c>
      <c r="R59" s="112">
        <f>$B59*'Cost data'!$C$28*3</f>
        <v>0</v>
      </c>
      <c r="S59" s="112">
        <f>$B59*'Cost data'!$C$28*2</f>
        <v>0</v>
      </c>
      <c r="T59" s="112">
        <f>$B59*'Cost data'!$C$28</f>
        <v>0</v>
      </c>
      <c r="U59" s="112">
        <f>0.15*Q59</f>
        <v>0</v>
      </c>
      <c r="V59" s="112">
        <f>0.1*Q59</f>
        <v>0</v>
      </c>
      <c r="W59" s="112">
        <f>0.05*Q59</f>
        <v>0</v>
      </c>
      <c r="X59" s="112">
        <f>M59*D59*'Cost data'!C$22</f>
        <v>0</v>
      </c>
      <c r="Y59" s="112">
        <f>M59*E59*'Cost data'!C$23</f>
        <v>0</v>
      </c>
      <c r="Z59" s="112">
        <f>M59*(D59+E59+(F59/2))*'Cost data'!C$24</f>
        <v>0</v>
      </c>
      <c r="AA59" s="106">
        <f>B59*'Cost data'!C12</f>
        <v>0</v>
      </c>
      <c r="AB59" s="112">
        <f>M59*F59*'Cost data'!C$25</f>
        <v>0</v>
      </c>
      <c r="AC59" s="112">
        <f>M59*G59*'Cost data'!$C$21</f>
        <v>0</v>
      </c>
    </row>
    <row r="60" spans="1:29" s="2" customFormat="1" ht="20.149999999999999" customHeight="1" x14ac:dyDescent="0.3">
      <c r="A60" s="352" t="s">
        <v>243</v>
      </c>
      <c r="B60" s="299">
        <v>0</v>
      </c>
      <c r="C60" s="350">
        <v>2</v>
      </c>
      <c r="D60" s="351">
        <v>0</v>
      </c>
      <c r="E60" s="351">
        <v>0</v>
      </c>
      <c r="F60" s="351">
        <v>0</v>
      </c>
      <c r="G60" s="351">
        <v>0</v>
      </c>
      <c r="H60" s="186">
        <f>B60*'Income data'!E6</f>
        <v>0</v>
      </c>
      <c r="I60" s="187">
        <f>H60*'Income data'!F6</f>
        <v>0</v>
      </c>
      <c r="J60" s="187" t="e">
        <f>I60/B60</f>
        <v>#DIV/0!</v>
      </c>
      <c r="K60" s="188">
        <f>IF(B13&gt;=76,(B13-76)/76*I60,B13/76*I60)</f>
        <v>0</v>
      </c>
      <c r="L60" s="110"/>
      <c r="M60" s="189">
        <f>B60*(100/C60)^2</f>
        <v>0</v>
      </c>
      <c r="N60" s="112">
        <f>M60*'Cost data'!C16</f>
        <v>0</v>
      </c>
      <c r="O60" s="112">
        <f>M60*'Cost data'!C19</f>
        <v>0</v>
      </c>
      <c r="P60" s="112"/>
      <c r="Q60" s="112">
        <f>SUM(N60:O60)</f>
        <v>0</v>
      </c>
      <c r="R60" s="112">
        <f>$B60*'Cost data'!$C$28*3</f>
        <v>0</v>
      </c>
      <c r="S60" s="112">
        <f>$B60*'Cost data'!$C$28*2</f>
        <v>0</v>
      </c>
      <c r="T60" s="112">
        <f>$B60*'Cost data'!$C$28</f>
        <v>0</v>
      </c>
      <c r="U60" s="112">
        <f>0.15*Q60</f>
        <v>0</v>
      </c>
      <c r="V60" s="112">
        <f>0.1*Q60</f>
        <v>0</v>
      </c>
      <c r="W60" s="112">
        <f>0.05*Q60</f>
        <v>0</v>
      </c>
      <c r="X60" s="112">
        <f>M60*D60*'Cost data'!C$22</f>
        <v>0</v>
      </c>
      <c r="Y60" s="112">
        <f>M60*E60*'Cost data'!C$23</f>
        <v>0</v>
      </c>
      <c r="Z60" s="112">
        <f>M60*(D60+E60+(F60/2))*'Cost data'!C$24</f>
        <v>0</v>
      </c>
      <c r="AA60" s="106">
        <f>B60*'Cost data'!C12</f>
        <v>0</v>
      </c>
      <c r="AB60" s="112">
        <f>M60*F60*'Cost data'!C$25</f>
        <v>0</v>
      </c>
      <c r="AC60" s="112">
        <f>M60*G60*'Cost data'!$C$21</f>
        <v>0</v>
      </c>
    </row>
    <row r="61" spans="1:29" s="2" customFormat="1" ht="20.149999999999999" customHeight="1" x14ac:dyDescent="0.3">
      <c r="A61" s="325" t="s">
        <v>233</v>
      </c>
      <c r="B61" s="299">
        <v>0</v>
      </c>
      <c r="C61" s="350">
        <v>2</v>
      </c>
      <c r="D61" s="351">
        <v>0</v>
      </c>
      <c r="E61" s="351">
        <v>0</v>
      </c>
      <c r="F61" s="351">
        <v>0</v>
      </c>
      <c r="G61" s="351">
        <v>0</v>
      </c>
      <c r="H61" s="220">
        <f>B61*'Income data'!E7</f>
        <v>0</v>
      </c>
      <c r="I61" s="221">
        <f>H61*'Income data'!F7</f>
        <v>0</v>
      </c>
      <c r="J61" s="221" t="e">
        <f>I61/B61</f>
        <v>#DIV/0!</v>
      </c>
      <c r="K61" s="222">
        <f>IF(B13&gt;=60,(B13-60)/60*I61,B13/60*I61)</f>
        <v>0</v>
      </c>
      <c r="L61" s="111"/>
      <c r="M61" s="189">
        <f>B61*(100/C61)^2</f>
        <v>0</v>
      </c>
      <c r="N61" s="112">
        <f>M61*'Cost data'!C16</f>
        <v>0</v>
      </c>
      <c r="O61" s="112">
        <f>M61*'Cost data'!C19</f>
        <v>0</v>
      </c>
      <c r="P61" s="112"/>
      <c r="Q61" s="112">
        <f>SUM(N61:O61)</f>
        <v>0</v>
      </c>
      <c r="R61" s="112">
        <f>$B61*'Cost data'!$C$28*3</f>
        <v>0</v>
      </c>
      <c r="S61" s="112">
        <f>$B61*'Cost data'!$C$28*2</f>
        <v>0</v>
      </c>
      <c r="T61" s="112">
        <f>$B61*'Cost data'!$C$28</f>
        <v>0</v>
      </c>
      <c r="U61" s="112">
        <f>0.15*Q61</f>
        <v>0</v>
      </c>
      <c r="V61" s="112">
        <f>0.1*Q61</f>
        <v>0</v>
      </c>
      <c r="W61" s="112">
        <f>0.05*Q61</f>
        <v>0</v>
      </c>
      <c r="X61" s="112">
        <f>M61*D61*'Cost data'!C$22</f>
        <v>0</v>
      </c>
      <c r="Y61" s="112">
        <f>M61*E61*'Cost data'!C$23</f>
        <v>0</v>
      </c>
      <c r="Z61" s="112">
        <f>M61*(D61+E61+(F61/2))*'Cost data'!C$24</f>
        <v>0</v>
      </c>
      <c r="AA61" s="106">
        <f>B61*'Cost data'!C12</f>
        <v>0</v>
      </c>
      <c r="AB61" s="112">
        <f>M61*F61*'Cost data'!C$25</f>
        <v>0</v>
      </c>
      <c r="AC61" s="112">
        <f>M61*G61*'Cost data'!$C$21</f>
        <v>0</v>
      </c>
    </row>
    <row r="62" spans="1:29" s="2" customFormat="1" ht="20.149999999999999" customHeight="1" x14ac:dyDescent="0.3">
      <c r="A62" s="325" t="s">
        <v>244</v>
      </c>
      <c r="B62" s="299">
        <v>0</v>
      </c>
      <c r="C62" s="350">
        <v>2</v>
      </c>
      <c r="D62" s="351">
        <v>0</v>
      </c>
      <c r="E62" s="351">
        <v>0</v>
      </c>
      <c r="F62" s="351">
        <v>0</v>
      </c>
      <c r="G62" s="351">
        <v>0</v>
      </c>
      <c r="H62" s="218"/>
      <c r="I62" s="40"/>
      <c r="J62" s="40"/>
      <c r="K62" s="219"/>
      <c r="L62" s="205"/>
      <c r="M62" s="189">
        <f>B62*(100/C62)^2</f>
        <v>0</v>
      </c>
      <c r="N62" s="112">
        <f>M62*'Cost data'!C$16</f>
        <v>0</v>
      </c>
      <c r="O62" s="112">
        <f>M62*'Cost data'!C$19</f>
        <v>0</v>
      </c>
      <c r="P62" s="112"/>
      <c r="Q62" s="112">
        <f>SUM(N62:O62)</f>
        <v>0</v>
      </c>
      <c r="R62" s="112">
        <f>$B62*'Cost data'!$C$28*3</f>
        <v>0</v>
      </c>
      <c r="S62" s="112">
        <f>$B62*'Cost data'!$C$28*2</f>
        <v>0</v>
      </c>
      <c r="T62" s="112">
        <f>$B62*'Cost data'!$C$28</f>
        <v>0</v>
      </c>
      <c r="U62" s="112">
        <f>0.15*Q62</f>
        <v>0</v>
      </c>
      <c r="V62" s="112">
        <f>0.1*Q62</f>
        <v>0</v>
      </c>
      <c r="W62" s="112">
        <f>0.05*Q62</f>
        <v>0</v>
      </c>
      <c r="X62" s="112">
        <f>M62*D62*'Cost data'!C$22</f>
        <v>0</v>
      </c>
      <c r="Y62" s="112">
        <f>M62*E62*'Cost data'!C$23</f>
        <v>0</v>
      </c>
      <c r="Z62" s="112">
        <f>M62*(D62+E62+(F62/2))*'Cost data'!C$24</f>
        <v>0</v>
      </c>
      <c r="AA62" s="190"/>
      <c r="AB62" s="112">
        <f>M62*F62*'Cost data'!C$25</f>
        <v>0</v>
      </c>
      <c r="AC62" s="112">
        <f>M62*G62*'Cost data'!$C$21</f>
        <v>0</v>
      </c>
    </row>
    <row r="63" spans="1:29" s="2" customFormat="1" ht="20.149999999999999" customHeight="1" x14ac:dyDescent="0.3">
      <c r="A63" s="353" t="s">
        <v>245</v>
      </c>
      <c r="B63" s="336">
        <v>0</v>
      </c>
      <c r="C63" s="354" t="s">
        <v>19</v>
      </c>
      <c r="D63" s="354" t="s">
        <v>19</v>
      </c>
      <c r="E63" s="354" t="s">
        <v>19</v>
      </c>
      <c r="F63" s="354" t="s">
        <v>19</v>
      </c>
      <c r="G63" s="354" t="s">
        <v>19</v>
      </c>
      <c r="H63" s="218"/>
      <c r="I63" s="40"/>
      <c r="J63" s="40"/>
      <c r="K63" s="219"/>
      <c r="L63" s="205"/>
      <c r="M63" s="190"/>
      <c r="N63" s="190"/>
      <c r="O63" s="190"/>
      <c r="P63" s="190"/>
      <c r="Q63" s="190"/>
      <c r="R63" s="190"/>
      <c r="S63" s="190"/>
      <c r="T63" s="190"/>
      <c r="U63" s="190"/>
      <c r="V63" s="190"/>
      <c r="W63" s="190"/>
      <c r="X63" s="190"/>
      <c r="Y63" s="190"/>
      <c r="Z63" s="190"/>
      <c r="AA63" s="190"/>
      <c r="AB63" s="190"/>
      <c r="AC63" s="191"/>
    </row>
    <row r="64" spans="1:29" s="2" customFormat="1" ht="20.149999999999999" customHeight="1" x14ac:dyDescent="0.3">
      <c r="A64" s="355" t="s">
        <v>290</v>
      </c>
      <c r="B64" s="356">
        <f>SUM(B59:B63)</f>
        <v>0</v>
      </c>
      <c r="C64" s="357"/>
      <c r="D64" s="311"/>
      <c r="E64" s="311"/>
      <c r="F64" s="355"/>
      <c r="G64" s="358"/>
      <c r="H64" s="218"/>
      <c r="I64" s="40"/>
      <c r="J64" s="40"/>
      <c r="K64" s="47"/>
      <c r="L64" s="205"/>
      <c r="M64" s="193"/>
      <c r="N64" s="169">
        <f>SUM(N59:N62)</f>
        <v>0</v>
      </c>
      <c r="O64" s="169">
        <f>SUM(O59:O62)</f>
        <v>0</v>
      </c>
      <c r="P64" s="169"/>
      <c r="Q64" s="169">
        <f t="shared" ref="Q64:W64" si="0">SUM(Q59:Q62)</f>
        <v>0</v>
      </c>
      <c r="R64" s="169">
        <f t="shared" si="0"/>
        <v>0</v>
      </c>
      <c r="S64" s="169">
        <f t="shared" si="0"/>
        <v>0</v>
      </c>
      <c r="T64" s="169">
        <f t="shared" si="0"/>
        <v>0</v>
      </c>
      <c r="U64" s="169">
        <f t="shared" si="0"/>
        <v>0</v>
      </c>
      <c r="V64" s="169">
        <f t="shared" si="0"/>
        <v>0</v>
      </c>
      <c r="W64" s="169">
        <f t="shared" si="0"/>
        <v>0</v>
      </c>
      <c r="X64" s="169">
        <f>SUM(X59:X62)</f>
        <v>0</v>
      </c>
      <c r="Y64" s="169">
        <f>SUM(Y59:Y62)</f>
        <v>0</v>
      </c>
      <c r="Z64" s="169">
        <f>SUM(Z59:Z62)</f>
        <v>0</v>
      </c>
      <c r="AA64" s="168"/>
      <c r="AB64" s="169">
        <f>SUM(AB59:AB62)</f>
        <v>0</v>
      </c>
      <c r="AC64" s="169">
        <f>SUM(AC59:AC62)</f>
        <v>0</v>
      </c>
    </row>
    <row r="65" spans="1:29" s="2" customFormat="1" ht="20.149999999999999" customHeight="1" x14ac:dyDescent="0.3">
      <c r="A65" s="325" t="s">
        <v>232</v>
      </c>
      <c r="B65" s="299">
        <v>0</v>
      </c>
      <c r="C65" s="350">
        <v>2.5</v>
      </c>
      <c r="D65" s="351">
        <v>0</v>
      </c>
      <c r="E65" s="351">
        <v>0</v>
      </c>
      <c r="F65" s="351">
        <v>0</v>
      </c>
      <c r="G65" s="351">
        <v>0</v>
      </c>
      <c r="H65" s="218"/>
      <c r="I65" s="40"/>
      <c r="J65" s="211"/>
      <c r="K65" s="219"/>
      <c r="L65" s="205"/>
      <c r="M65" s="189">
        <f>B65*(100/C65)^2</f>
        <v>0</v>
      </c>
      <c r="N65" s="112">
        <f>M65*'Cost data'!C$17</f>
        <v>0</v>
      </c>
      <c r="O65" s="112">
        <f>M65*'Cost data'!C$20</f>
        <v>0</v>
      </c>
      <c r="P65" s="112"/>
      <c r="Q65" s="112">
        <f>SUM(N65:O65)</f>
        <v>0</v>
      </c>
      <c r="R65" s="112">
        <f>$B65*'Cost data'!$C$28*3</f>
        <v>0</v>
      </c>
      <c r="S65" s="112">
        <f>$B65*'Cost data'!$C$28*2</f>
        <v>0</v>
      </c>
      <c r="T65" s="112">
        <f>$B65*'Cost data'!$C$28</f>
        <v>0</v>
      </c>
      <c r="U65" s="112">
        <f>0.15*Q$65</f>
        <v>0</v>
      </c>
      <c r="V65" s="112">
        <f>0.1*Q$65</f>
        <v>0</v>
      </c>
      <c r="W65" s="112">
        <f>0.05*Q$65</f>
        <v>0</v>
      </c>
      <c r="X65" s="112">
        <f>IF(D65&gt;0,D65*M65*'Cost data'!C$22,0)</f>
        <v>0</v>
      </c>
      <c r="Y65" s="112">
        <f>IF(E65&gt;0,E65*M65*'Cost data'!C$23,0)</f>
        <v>0</v>
      </c>
      <c r="Z65" s="112">
        <f>IF(D65&gt;0,(D65+E65+(F65/2))*M65*'Cost data'!C$24,0)</f>
        <v>0</v>
      </c>
      <c r="AA65" s="190"/>
      <c r="AB65" s="112">
        <f>IF(F65&gt;0,F65*M65*'Cost data'!C$25,0)</f>
        <v>0</v>
      </c>
      <c r="AC65" s="112">
        <f>IF(G65&gt;0,G65*M65*'Cost data'!$C$21,0)</f>
        <v>0</v>
      </c>
    </row>
    <row r="66" spans="1:29" s="2" customFormat="1" ht="20.149999999999999" customHeight="1" x14ac:dyDescent="0.3">
      <c r="A66" s="325" t="s">
        <v>231</v>
      </c>
      <c r="B66" s="299">
        <v>0</v>
      </c>
      <c r="C66" s="350">
        <v>2.5</v>
      </c>
      <c r="D66" s="351">
        <v>0</v>
      </c>
      <c r="E66" s="351">
        <v>0</v>
      </c>
      <c r="F66" s="351">
        <v>0</v>
      </c>
      <c r="G66" s="351">
        <v>0</v>
      </c>
      <c r="H66" s="218"/>
      <c r="I66" s="40"/>
      <c r="J66" s="40"/>
      <c r="K66" s="219"/>
      <c r="L66" s="205"/>
      <c r="M66" s="189">
        <f>B66*(100/C66)^2</f>
        <v>0</v>
      </c>
      <c r="N66" s="112">
        <f>M66*'Cost data'!C$17</f>
        <v>0</v>
      </c>
      <c r="O66" s="112">
        <f>M66*'Cost data'!C$20</f>
        <v>0</v>
      </c>
      <c r="P66" s="112"/>
      <c r="Q66" s="112">
        <f>SUM(N66:O66)</f>
        <v>0</v>
      </c>
      <c r="R66" s="112">
        <f>$B66*'Cost data'!$C$28*3</f>
        <v>0</v>
      </c>
      <c r="S66" s="112">
        <f>$B66*'Cost data'!$C$28*2</f>
        <v>0</v>
      </c>
      <c r="T66" s="112">
        <f>$B66*'Cost data'!$C$28</f>
        <v>0</v>
      </c>
      <c r="U66" s="112">
        <f>0.15*Q$66</f>
        <v>0</v>
      </c>
      <c r="V66" s="112">
        <f>0.1*Q$66</f>
        <v>0</v>
      </c>
      <c r="W66" s="112">
        <f>0.05*Q$66</f>
        <v>0</v>
      </c>
      <c r="X66" s="112">
        <f>IF(D66&gt;0,D66*M66*'Cost data'!C$22,0)</f>
        <v>0</v>
      </c>
      <c r="Y66" s="112">
        <f>IF(E66&gt;0,E66*M66*'Cost data'!C$23,0)</f>
        <v>0</v>
      </c>
      <c r="Z66" s="112">
        <f>IF(D66&gt;0,(D66+E66+(F66/2))*M66*'Cost data'!C$24,0)</f>
        <v>0</v>
      </c>
      <c r="AA66" s="190"/>
      <c r="AB66" s="112">
        <f>IF(F66&gt;0,F66*M66*'Cost data'!C$25,0)</f>
        <v>0</v>
      </c>
      <c r="AC66" s="112">
        <f>IF(G66&gt;0,G66*M66*'Cost data'!$C$21,0)</f>
        <v>0</v>
      </c>
    </row>
    <row r="67" spans="1:29" s="2" customFormat="1" ht="20.149999999999999" customHeight="1" x14ac:dyDescent="0.3">
      <c r="A67" s="353" t="s">
        <v>239</v>
      </c>
      <c r="B67" s="336">
        <v>0</v>
      </c>
      <c r="C67" s="354" t="s">
        <v>19</v>
      </c>
      <c r="D67" s="354" t="s">
        <v>19</v>
      </c>
      <c r="E67" s="354" t="s">
        <v>19</v>
      </c>
      <c r="F67" s="354" t="s">
        <v>19</v>
      </c>
      <c r="G67" s="359" t="s">
        <v>19</v>
      </c>
      <c r="H67" s="218"/>
      <c r="I67" s="40"/>
      <c r="J67" s="40"/>
      <c r="K67" s="219"/>
      <c r="L67" s="205"/>
      <c r="M67" s="190"/>
      <c r="N67" s="190"/>
      <c r="O67" s="190"/>
      <c r="P67" s="190"/>
      <c r="Q67" s="190"/>
      <c r="R67" s="190"/>
      <c r="S67" s="190"/>
      <c r="T67" s="190"/>
      <c r="U67" s="190"/>
      <c r="V67" s="190"/>
      <c r="W67" s="190"/>
      <c r="X67" s="190"/>
      <c r="Y67" s="190"/>
      <c r="Z67" s="190"/>
      <c r="AA67" s="190"/>
      <c r="AB67" s="190"/>
      <c r="AC67" s="191"/>
    </row>
    <row r="68" spans="1:29" s="2" customFormat="1" ht="20.149999999999999" customHeight="1" thickBot="1" x14ac:dyDescent="0.35">
      <c r="A68" s="355" t="s">
        <v>291</v>
      </c>
      <c r="B68" s="356">
        <f>SUM(B65:B67)</f>
        <v>0</v>
      </c>
      <c r="C68" s="360"/>
      <c r="D68" s="360"/>
      <c r="E68" s="360"/>
      <c r="F68" s="355"/>
      <c r="G68" s="361"/>
      <c r="H68" s="218"/>
      <c r="I68" s="40"/>
      <c r="J68" s="40"/>
      <c r="K68" s="219"/>
      <c r="L68" s="205"/>
      <c r="M68" s="193"/>
      <c r="N68" s="169">
        <f>SUM(N65:N66)</f>
        <v>0</v>
      </c>
      <c r="O68" s="169">
        <f>SUM(O65:O66)</f>
        <v>0</v>
      </c>
      <c r="P68" s="169"/>
      <c r="Q68" s="169">
        <f t="shared" ref="Q68:Z68" si="1">SUM(Q65:Q66)</f>
        <v>0</v>
      </c>
      <c r="R68" s="169">
        <f t="shared" si="1"/>
        <v>0</v>
      </c>
      <c r="S68" s="169">
        <f t="shared" si="1"/>
        <v>0</v>
      </c>
      <c r="T68" s="169">
        <f t="shared" si="1"/>
        <v>0</v>
      </c>
      <c r="U68" s="169">
        <f t="shared" si="1"/>
        <v>0</v>
      </c>
      <c r="V68" s="169">
        <f t="shared" si="1"/>
        <v>0</v>
      </c>
      <c r="W68" s="169">
        <f t="shared" si="1"/>
        <v>0</v>
      </c>
      <c r="X68" s="169">
        <f t="shared" si="1"/>
        <v>0</v>
      </c>
      <c r="Y68" s="169">
        <f t="shared" si="1"/>
        <v>0</v>
      </c>
      <c r="Z68" s="169">
        <f t="shared" si="1"/>
        <v>0</v>
      </c>
      <c r="AA68" s="168"/>
      <c r="AB68" s="169">
        <f>SUM(AB65:AB66)</f>
        <v>0</v>
      </c>
      <c r="AC68" s="169">
        <f>SUM(AC65:AC66)</f>
        <v>0</v>
      </c>
    </row>
    <row r="69" spans="1:29" s="139" customFormat="1" ht="28" customHeight="1" thickTop="1" thickBot="1" x14ac:dyDescent="0.35">
      <c r="A69" s="362" t="s">
        <v>292</v>
      </c>
      <c r="B69" s="852">
        <f>SUM(B64,B68)</f>
        <v>0</v>
      </c>
      <c r="C69" s="823" t="s">
        <v>515</v>
      </c>
      <c r="D69" s="814"/>
      <c r="E69" s="814"/>
      <c r="F69" s="814"/>
      <c r="G69" s="814"/>
      <c r="H69" s="179"/>
      <c r="I69" s="179"/>
      <c r="K69" s="217">
        <f>SUM(K59:K68)</f>
        <v>0</v>
      </c>
      <c r="L69" s="2"/>
      <c r="AC69" s="194"/>
    </row>
    <row r="70" spans="1:29" s="139" customFormat="1" ht="15" customHeight="1" thickTop="1" x14ac:dyDescent="0.3">
      <c r="A70" s="310"/>
      <c r="B70" s="363"/>
      <c r="C70" s="292"/>
      <c r="D70" s="310"/>
      <c r="E70" s="310"/>
      <c r="F70" s="310"/>
      <c r="G70" s="310"/>
      <c r="H70" s="179"/>
      <c r="I70" s="179"/>
      <c r="K70" s="195"/>
      <c r="L70" s="2"/>
      <c r="AC70" s="194"/>
    </row>
    <row r="71" spans="1:29" s="2" customFormat="1" ht="18.75" customHeight="1" x14ac:dyDescent="0.3">
      <c r="A71" s="310" t="s">
        <v>299</v>
      </c>
      <c r="B71" s="292"/>
      <c r="C71" s="310"/>
      <c r="D71" s="310"/>
      <c r="E71" s="310"/>
      <c r="F71" s="292"/>
      <c r="G71" s="294"/>
      <c r="AC71" s="165"/>
    </row>
    <row r="72" spans="1:29" s="2" customFormat="1" ht="20.149999999999999" customHeight="1" x14ac:dyDescent="0.3">
      <c r="A72" s="290" t="s">
        <v>428</v>
      </c>
      <c r="B72" s="311" t="s">
        <v>256</v>
      </c>
      <c r="C72" s="815" t="s">
        <v>516</v>
      </c>
      <c r="D72" s="815"/>
      <c r="E72" s="815"/>
      <c r="F72" s="815"/>
      <c r="G72" s="294"/>
      <c r="H72" s="169">
        <f>IF(AND(B10&lt;=10,'Data entry'!B72="Yes"),'Cost data'!C39*B10,IF('Data entry'!B72="Yes",'Cost data'!C39*10+('Data entry'!B10-10)*'Cost data'!C40,0))</f>
        <v>0</v>
      </c>
      <c r="I72" s="47"/>
      <c r="AC72" s="165"/>
    </row>
    <row r="73" spans="1:29" s="2" customFormat="1" ht="20.149999999999999" customHeight="1" x14ac:dyDescent="0.3">
      <c r="A73" s="290" t="s">
        <v>8</v>
      </c>
      <c r="B73" s="311" t="s">
        <v>256</v>
      </c>
      <c r="C73" s="815" t="s">
        <v>517</v>
      </c>
      <c r="D73" s="815"/>
      <c r="E73" s="815"/>
      <c r="F73" s="815"/>
      <c r="G73" s="294"/>
      <c r="H73" s="192" t="s">
        <v>222</v>
      </c>
      <c r="I73" s="47"/>
      <c r="AC73" s="165"/>
    </row>
    <row r="74" spans="1:29" s="2" customFormat="1" ht="20.149999999999999" customHeight="1" x14ac:dyDescent="0.3">
      <c r="A74" s="290" t="s">
        <v>349</v>
      </c>
      <c r="B74" s="311" t="s">
        <v>256</v>
      </c>
      <c r="C74" s="815" t="s">
        <v>518</v>
      </c>
      <c r="D74" s="815"/>
      <c r="E74" s="815"/>
      <c r="F74" s="815"/>
      <c r="G74" s="294"/>
      <c r="H74" s="174">
        <f>IF(B74="Yes",B11*'Cost data'!C26,0)</f>
        <v>0</v>
      </c>
      <c r="AC74" s="165"/>
    </row>
    <row r="75" spans="1:29" s="2" customFormat="1" ht="15" customHeight="1" x14ac:dyDescent="0.3">
      <c r="A75" s="292"/>
      <c r="B75" s="292"/>
      <c r="C75" s="292"/>
      <c r="D75" s="292"/>
      <c r="E75" s="292"/>
      <c r="F75" s="292"/>
      <c r="G75" s="294"/>
      <c r="AC75" s="165"/>
    </row>
    <row r="76" spans="1:29" s="2" customFormat="1" ht="20" x14ac:dyDescent="0.3">
      <c r="A76" s="266" t="s">
        <v>300</v>
      </c>
      <c r="B76" s="263"/>
      <c r="C76" s="263"/>
      <c r="D76" s="263"/>
      <c r="E76" s="263"/>
      <c r="F76" s="263"/>
      <c r="G76" s="264"/>
      <c r="AC76" s="165"/>
    </row>
    <row r="77" spans="1:29" s="2" customFormat="1" ht="20" x14ac:dyDescent="0.3">
      <c r="A77" s="268"/>
      <c r="B77" s="263"/>
      <c r="C77" s="263"/>
      <c r="D77" s="263"/>
      <c r="E77" s="263"/>
      <c r="F77" s="263"/>
      <c r="G77" s="264"/>
      <c r="AC77" s="165"/>
    </row>
    <row r="78" spans="1:29" s="2" customFormat="1" ht="14" x14ac:dyDescent="0.3">
      <c r="A78" s="310" t="s">
        <v>301</v>
      </c>
      <c r="B78" s="292"/>
      <c r="C78" s="292"/>
      <c r="D78" s="292"/>
      <c r="E78" s="292"/>
      <c r="F78" s="292"/>
      <c r="G78" s="294"/>
      <c r="AC78" s="165"/>
    </row>
    <row r="79" spans="1:29" s="139" customFormat="1" ht="32.15" customHeight="1" x14ac:dyDescent="0.3">
      <c r="A79" s="814" t="s">
        <v>519</v>
      </c>
      <c r="B79" s="814"/>
      <c r="C79" s="814"/>
      <c r="D79" s="292"/>
      <c r="E79" s="292"/>
      <c r="F79" s="292"/>
      <c r="G79" s="294"/>
      <c r="H79" s="2"/>
      <c r="AC79" s="194"/>
    </row>
    <row r="80" spans="1:29" s="139" customFormat="1" ht="32.15" customHeight="1" x14ac:dyDescent="0.3">
      <c r="A80" s="814" t="s">
        <v>543</v>
      </c>
      <c r="B80" s="814"/>
      <c r="C80" s="814"/>
      <c r="D80" s="292"/>
      <c r="E80" s="292"/>
      <c r="F80" s="292"/>
      <c r="G80" s="294"/>
      <c r="H80" s="2"/>
      <c r="AC80" s="194"/>
    </row>
    <row r="81" spans="1:29" s="2" customFormat="1" ht="20.149999999999999" customHeight="1" x14ac:dyDescent="0.3">
      <c r="A81" s="374"/>
      <c r="B81" s="318" t="s">
        <v>76</v>
      </c>
      <c r="C81" s="318" t="s">
        <v>104</v>
      </c>
      <c r="D81" s="292"/>
      <c r="E81" s="292"/>
      <c r="F81" s="292"/>
      <c r="G81" s="294"/>
      <c r="H81" s="80"/>
      <c r="AC81" s="165"/>
    </row>
    <row r="82" spans="1:29" s="2" customFormat="1" ht="20.149999999999999" customHeight="1" x14ac:dyDescent="0.3">
      <c r="A82" s="290" t="s">
        <v>277</v>
      </c>
      <c r="B82" s="375">
        <v>0</v>
      </c>
      <c r="C82" s="290"/>
      <c r="D82" s="292"/>
      <c r="E82" s="292"/>
      <c r="F82" s="292"/>
      <c r="G82" s="294"/>
      <c r="AC82" s="165"/>
    </row>
    <row r="83" spans="1:29" s="2" customFormat="1" ht="20.149999999999999" customHeight="1" x14ac:dyDescent="0.3">
      <c r="A83" s="290" t="s">
        <v>278</v>
      </c>
      <c r="B83" s="375">
        <v>0</v>
      </c>
      <c r="C83" s="290"/>
      <c r="D83" s="292"/>
      <c r="E83" s="292"/>
      <c r="F83" s="292"/>
      <c r="G83" s="294"/>
      <c r="AC83" s="165"/>
    </row>
    <row r="84" spans="1:29" s="2" customFormat="1" ht="20.149999999999999" customHeight="1" x14ac:dyDescent="0.3">
      <c r="A84" s="290" t="s">
        <v>279</v>
      </c>
      <c r="B84" s="376">
        <v>0</v>
      </c>
      <c r="C84" s="322">
        <v>0</v>
      </c>
      <c r="D84" s="804" t="s">
        <v>520</v>
      </c>
      <c r="E84" s="805"/>
      <c r="F84" s="805"/>
      <c r="G84" s="806"/>
      <c r="H84" s="80"/>
      <c r="AC84" s="165"/>
    </row>
    <row r="85" spans="1:29" s="2" customFormat="1" ht="20.149999999999999" customHeight="1" x14ac:dyDescent="0.3">
      <c r="A85" s="320" t="s">
        <v>283</v>
      </c>
      <c r="B85" s="375">
        <v>0</v>
      </c>
      <c r="C85" s="320">
        <v>0</v>
      </c>
      <c r="D85" s="807"/>
      <c r="E85" s="808"/>
      <c r="F85" s="808"/>
      <c r="G85" s="809"/>
      <c r="H85" s="80"/>
      <c r="AC85" s="165"/>
    </row>
    <row r="86" spans="1:29" s="2" customFormat="1" ht="20.149999999999999" customHeight="1" x14ac:dyDescent="0.3">
      <c r="A86" s="290" t="s">
        <v>293</v>
      </c>
      <c r="B86" s="291" t="s">
        <v>504</v>
      </c>
      <c r="C86" s="290"/>
      <c r="D86" s="814" t="s">
        <v>521</v>
      </c>
      <c r="E86" s="814"/>
      <c r="F86" s="814"/>
      <c r="G86" s="814"/>
      <c r="H86" s="80"/>
      <c r="AC86" s="165"/>
    </row>
    <row r="87" spans="1:29" s="2" customFormat="1" ht="15" customHeight="1" x14ac:dyDescent="0.3">
      <c r="A87" s="310"/>
      <c r="B87" s="292"/>
      <c r="C87" s="310"/>
      <c r="D87" s="292"/>
      <c r="E87" s="292"/>
      <c r="F87" s="310"/>
      <c r="G87" s="377"/>
      <c r="AC87" s="165"/>
    </row>
    <row r="88" spans="1:29" s="2" customFormat="1" ht="15" customHeight="1" x14ac:dyDescent="0.3">
      <c r="A88" s="310" t="s">
        <v>302</v>
      </c>
      <c r="B88" s="292"/>
      <c r="C88" s="310"/>
      <c r="D88" s="310"/>
      <c r="E88" s="310"/>
      <c r="F88" s="310"/>
      <c r="G88" s="377"/>
      <c r="H88" s="139"/>
      <c r="AC88" s="165"/>
    </row>
    <row r="89" spans="1:29" s="2" customFormat="1" ht="14" x14ac:dyDescent="0.3">
      <c r="A89" s="378"/>
      <c r="B89" s="318" t="s">
        <v>76</v>
      </c>
      <c r="C89" s="379" t="s">
        <v>104</v>
      </c>
      <c r="D89" s="380"/>
      <c r="E89" s="381"/>
      <c r="F89" s="296"/>
      <c r="G89" s="294"/>
      <c r="AC89" s="165"/>
    </row>
    <row r="90" spans="1:29" s="2" customFormat="1" ht="20.149999999999999" customHeight="1" x14ac:dyDescent="0.3">
      <c r="A90" s="320" t="s">
        <v>282</v>
      </c>
      <c r="B90" s="382">
        <v>0</v>
      </c>
      <c r="C90" s="383"/>
      <c r="D90" s="804" t="s">
        <v>595</v>
      </c>
      <c r="E90" s="805"/>
      <c r="F90" s="805"/>
      <c r="G90" s="806"/>
      <c r="H90" s="216"/>
      <c r="AC90" s="165"/>
    </row>
    <row r="91" spans="1:29" s="2" customFormat="1" ht="20.149999999999999" customHeight="1" x14ac:dyDescent="0.3">
      <c r="A91" s="320" t="s">
        <v>282</v>
      </c>
      <c r="B91" s="382">
        <v>0</v>
      </c>
      <c r="C91" s="383"/>
      <c r="D91" s="810"/>
      <c r="E91" s="811"/>
      <c r="F91" s="811"/>
      <c r="G91" s="812"/>
      <c r="H91" s="216"/>
      <c r="AC91" s="165"/>
    </row>
    <row r="92" spans="1:29" s="2" customFormat="1" ht="20.149999999999999" customHeight="1" x14ac:dyDescent="0.3">
      <c r="A92" s="320" t="s">
        <v>282</v>
      </c>
      <c r="B92" s="382">
        <v>0</v>
      </c>
      <c r="C92" s="383"/>
      <c r="D92" s="807"/>
      <c r="E92" s="808"/>
      <c r="F92" s="808"/>
      <c r="G92" s="809"/>
      <c r="H92" s="216"/>
      <c r="AC92" s="165"/>
    </row>
    <row r="93" spans="1:29" s="2" customFormat="1" ht="15" customHeight="1" x14ac:dyDescent="0.3">
      <c r="A93" s="310"/>
      <c r="B93" s="384"/>
      <c r="C93" s="384"/>
      <c r="D93" s="384"/>
      <c r="E93" s="384"/>
      <c r="F93" s="292"/>
      <c r="G93" s="294"/>
      <c r="AC93" s="165"/>
    </row>
    <row r="94" spans="1:29" s="2" customFormat="1" ht="15" customHeight="1" x14ac:dyDescent="0.3">
      <c r="A94" s="310" t="s">
        <v>303</v>
      </c>
      <c r="B94" s="384"/>
      <c r="C94" s="385"/>
      <c r="D94" s="385"/>
      <c r="E94" s="385"/>
      <c r="F94" s="310"/>
      <c r="G94" s="294"/>
      <c r="AC94" s="165"/>
    </row>
    <row r="95" spans="1:29" s="2" customFormat="1" ht="14" x14ac:dyDescent="0.3">
      <c r="A95" s="378"/>
      <c r="B95" s="318" t="s">
        <v>76</v>
      </c>
      <c r="C95" s="379" t="s">
        <v>285</v>
      </c>
      <c r="D95" s="381"/>
      <c r="E95" s="381"/>
      <c r="F95" s="310"/>
      <c r="G95" s="294"/>
      <c r="AC95" s="165"/>
    </row>
    <row r="96" spans="1:29" s="2" customFormat="1" ht="20.149999999999999" customHeight="1" x14ac:dyDescent="0.3">
      <c r="A96" s="386" t="s">
        <v>284</v>
      </c>
      <c r="B96" s="387">
        <v>0</v>
      </c>
      <c r="C96" s="383"/>
      <c r="D96" s="804" t="s">
        <v>596</v>
      </c>
      <c r="E96" s="805"/>
      <c r="F96" s="805"/>
      <c r="G96" s="806"/>
      <c r="H96" s="216"/>
      <c r="AC96" s="165"/>
    </row>
    <row r="97" spans="1:29" s="2" customFormat="1" ht="20.149999999999999" customHeight="1" x14ac:dyDescent="0.3">
      <c r="A97" s="386" t="s">
        <v>284</v>
      </c>
      <c r="B97" s="387">
        <v>0</v>
      </c>
      <c r="C97" s="383"/>
      <c r="D97" s="810"/>
      <c r="E97" s="811"/>
      <c r="F97" s="811"/>
      <c r="G97" s="812"/>
      <c r="H97" s="216"/>
      <c r="AC97" s="165"/>
    </row>
    <row r="98" spans="1:29" s="2" customFormat="1" ht="20.149999999999999" customHeight="1" x14ac:dyDescent="0.3">
      <c r="A98" s="386" t="s">
        <v>284</v>
      </c>
      <c r="B98" s="387">
        <v>0</v>
      </c>
      <c r="C98" s="383"/>
      <c r="D98" s="807"/>
      <c r="E98" s="808"/>
      <c r="F98" s="808"/>
      <c r="G98" s="809"/>
      <c r="H98" s="216"/>
      <c r="AC98" s="165"/>
    </row>
    <row r="99" spans="1:29" s="2" customFormat="1" ht="15" customHeight="1" x14ac:dyDescent="0.3">
      <c r="A99" s="292"/>
      <c r="B99" s="292"/>
      <c r="C99" s="292"/>
      <c r="D99" s="292"/>
      <c r="E99" s="292"/>
      <c r="F99" s="292"/>
      <c r="G99" s="294"/>
      <c r="AC99" s="165"/>
    </row>
    <row r="100" spans="1:29" s="2" customFormat="1" ht="24" customHeight="1" x14ac:dyDescent="0.3">
      <c r="A100" s="266" t="s">
        <v>429</v>
      </c>
      <c r="B100" s="292"/>
      <c r="C100" s="292"/>
      <c r="D100" s="292"/>
      <c r="E100" s="292"/>
      <c r="F100" s="292"/>
      <c r="G100" s="294"/>
      <c r="AC100" s="165"/>
    </row>
    <row r="101" spans="1:29" s="2" customFormat="1" ht="24" customHeight="1" x14ac:dyDescent="0.3">
      <c r="A101" s="310"/>
      <c r="B101" s="292"/>
      <c r="C101" s="292"/>
      <c r="D101" s="292"/>
      <c r="E101" s="292"/>
      <c r="F101" s="292"/>
      <c r="G101" s="294"/>
      <c r="AC101" s="165"/>
    </row>
    <row r="102" spans="1:29" s="2" customFormat="1" ht="33.65" customHeight="1" x14ac:dyDescent="0.3">
      <c r="A102" s="364" t="s">
        <v>306</v>
      </c>
      <c r="B102" s="319" t="s">
        <v>308</v>
      </c>
      <c r="C102" s="365"/>
      <c r="D102" s="292"/>
      <c r="E102" s="292"/>
      <c r="F102" s="310"/>
      <c r="G102" s="294"/>
      <c r="H102" s="139"/>
      <c r="I102" s="101" t="s">
        <v>112</v>
      </c>
      <c r="J102" s="101" t="s">
        <v>115</v>
      </c>
      <c r="K102" s="108" t="s">
        <v>170</v>
      </c>
      <c r="AB102" s="165"/>
    </row>
    <row r="103" spans="1:29" s="2" customFormat="1" ht="32.5" customHeight="1" x14ac:dyDescent="0.3">
      <c r="A103" s="366" t="s">
        <v>215</v>
      </c>
      <c r="B103" s="299">
        <v>0</v>
      </c>
      <c r="C103" s="813" t="s">
        <v>525</v>
      </c>
      <c r="D103" s="814"/>
      <c r="E103" s="814"/>
      <c r="F103" s="814"/>
      <c r="G103" s="814"/>
      <c r="H103" s="80"/>
      <c r="I103" s="223" t="e">
        <f>VLOOKUP($B$7,'Income forgone and BPS data'!$B$19:$C$22,2,FALSE)</f>
        <v>#N/A</v>
      </c>
      <c r="J103" s="196">
        <f>IF(B103&gt;0,B103*VLOOKUP($B$7&amp;$A103,'Income forgone and BPS data'!$A$5:$E$16,5,FALSE),0)</f>
        <v>0</v>
      </c>
      <c r="K103" s="196">
        <f>IF($B103&gt;0,$B103*VLOOKUP($B$7&amp;$A103,'Income forgone and BPS data'!$A$5:$E$16,4,FALSE),0)</f>
        <v>0</v>
      </c>
      <c r="AB103" s="165"/>
    </row>
    <row r="104" spans="1:29" s="2" customFormat="1" ht="22.5" customHeight="1" x14ac:dyDescent="0.3">
      <c r="A104" s="367" t="s">
        <v>307</v>
      </c>
      <c r="B104" s="299">
        <v>0</v>
      </c>
      <c r="C104" s="368" t="s">
        <v>524</v>
      </c>
      <c r="D104" s="324"/>
      <c r="E104" s="324"/>
      <c r="F104" s="324"/>
      <c r="G104" s="369"/>
      <c r="H104" s="80"/>
      <c r="I104" s="197"/>
      <c r="J104" s="196">
        <f>IF(B104&gt;0,B104*VLOOKUP($B$7&amp;$A104,'Income forgone and BPS data'!$A$5:$E$16,5,FALSE),0)</f>
        <v>0</v>
      </c>
      <c r="K104" s="196">
        <f>IF($B104&gt;0,$B104*VLOOKUP($B$7&amp;$A104,'Income forgone and BPS data'!$A$5:$E$16,4,FALSE),0)</f>
        <v>0</v>
      </c>
      <c r="AB104" s="165"/>
    </row>
    <row r="105" spans="1:29" s="2" customFormat="1" ht="21.75" customHeight="1" x14ac:dyDescent="0.3">
      <c r="A105" s="370" t="s">
        <v>213</v>
      </c>
      <c r="B105" s="299">
        <v>0</v>
      </c>
      <c r="C105" s="368" t="s">
        <v>522</v>
      </c>
      <c r="D105" s="324"/>
      <c r="E105" s="324"/>
      <c r="F105" s="324"/>
      <c r="G105" s="369"/>
      <c r="I105" s="225"/>
      <c r="J105" s="196">
        <f>IF(B105&gt;0,B105*VLOOKUP($B$7&amp;$A105,'Income forgone and BPS data'!$A$5:$E$16,5,FALSE),0)</f>
        <v>0</v>
      </c>
      <c r="K105" s="196">
        <f>IF($B105&gt;0,$B105*VLOOKUP($B$7&amp;$A105,'Income forgone and BPS data'!$A$5:$E$16,4,FALSE),0)</f>
        <v>0</v>
      </c>
      <c r="AB105" s="165"/>
    </row>
    <row r="106" spans="1:29" s="2" customFormat="1" ht="24.75" customHeight="1" x14ac:dyDescent="0.3">
      <c r="A106" s="364" t="s">
        <v>7</v>
      </c>
      <c r="B106" s="356">
        <f>SUM(B103:B105)</f>
        <v>0</v>
      </c>
      <c r="C106" s="824" t="s">
        <v>539</v>
      </c>
      <c r="D106" s="825"/>
      <c r="E106" s="825"/>
      <c r="F106" s="825"/>
      <c r="G106" s="826"/>
      <c r="I106" s="226"/>
      <c r="J106" s="109">
        <f>SUM(J103:J105)</f>
        <v>0</v>
      </c>
      <c r="K106" s="109">
        <f>SUM(K103:K105)</f>
        <v>0</v>
      </c>
      <c r="AB106" s="165"/>
    </row>
    <row r="107" spans="1:29" s="2" customFormat="1" ht="24.75" customHeight="1" x14ac:dyDescent="0.3">
      <c r="A107" s="306"/>
      <c r="B107" s="371"/>
      <c r="C107" s="372"/>
      <c r="D107" s="310"/>
      <c r="E107" s="310"/>
      <c r="F107" s="310"/>
      <c r="G107" s="294"/>
      <c r="I107" s="179"/>
      <c r="J107" s="224"/>
      <c r="K107" s="224"/>
      <c r="AB107" s="165"/>
    </row>
    <row r="108" spans="1:29" s="2" customFormat="1" ht="24.75" customHeight="1" x14ac:dyDescent="0.3">
      <c r="A108" s="310" t="s">
        <v>309</v>
      </c>
      <c r="B108" s="371"/>
      <c r="C108" s="372"/>
      <c r="D108" s="817"/>
      <c r="E108" s="817"/>
      <c r="F108" s="817"/>
      <c r="G108" s="294"/>
      <c r="I108" s="179"/>
      <c r="J108" s="224"/>
      <c r="K108" s="224"/>
      <c r="AB108" s="165"/>
    </row>
    <row r="109" spans="1:29" s="2" customFormat="1" ht="24.75" customHeight="1" x14ac:dyDescent="0.3">
      <c r="A109" s="901" t="s">
        <v>594</v>
      </c>
      <c r="B109" s="885"/>
      <c r="C109" s="372"/>
      <c r="D109" s="292"/>
      <c r="E109" s="292"/>
      <c r="F109" s="292"/>
      <c r="G109" s="294"/>
      <c r="I109" s="179"/>
      <c r="J109" s="224"/>
      <c r="K109" s="224"/>
      <c r="AB109" s="165"/>
    </row>
    <row r="110" spans="1:29" s="2" customFormat="1" ht="24.75" customHeight="1" x14ac:dyDescent="0.3">
      <c r="A110" s="306"/>
      <c r="B110" s="373"/>
      <c r="C110" s="373"/>
      <c r="D110" s="310"/>
      <c r="E110" s="310"/>
      <c r="F110" s="310"/>
      <c r="G110" s="294"/>
      <c r="I110" s="179"/>
      <c r="J110" s="224"/>
      <c r="K110" s="224"/>
      <c r="AB110" s="165"/>
    </row>
    <row r="111" spans="1:29" s="2" customFormat="1" ht="20" x14ac:dyDescent="0.3">
      <c r="A111" s="269" t="s">
        <v>304</v>
      </c>
      <c r="B111" s="250"/>
      <c r="C111" s="263"/>
      <c r="D111" s="263"/>
      <c r="E111" s="263"/>
      <c r="F111" s="263"/>
      <c r="G111" s="264"/>
      <c r="AC111" s="165"/>
    </row>
    <row r="112" spans="1:29" s="2" customFormat="1" ht="14" x14ac:dyDescent="0.3">
      <c r="A112" s="306"/>
      <c r="B112" s="310"/>
      <c r="C112" s="292"/>
      <c r="D112" s="292"/>
      <c r="E112" s="292"/>
      <c r="F112" s="292"/>
      <c r="G112" s="294"/>
      <c r="AC112" s="165"/>
    </row>
    <row r="113" spans="1:29" s="2" customFormat="1" ht="14.5" thickBot="1" x14ac:dyDescent="0.35">
      <c r="A113" s="815" t="s">
        <v>523</v>
      </c>
      <c r="B113" s="816"/>
      <c r="C113" s="816"/>
      <c r="D113" s="816"/>
      <c r="E113" s="816"/>
      <c r="F113" s="816"/>
      <c r="G113" s="310"/>
      <c r="I113" s="234" t="s">
        <v>346</v>
      </c>
      <c r="J113" s="115"/>
      <c r="M113" s="114" t="s">
        <v>36</v>
      </c>
      <c r="N113" s="116"/>
      <c r="O113" s="116"/>
      <c r="P113" s="116"/>
      <c r="Q113" s="116"/>
      <c r="R113" s="116"/>
      <c r="S113" s="117"/>
      <c r="V113" s="114" t="s">
        <v>20</v>
      </c>
      <c r="W113" s="118"/>
      <c r="X113" s="115"/>
      <c r="Y113" s="139"/>
      <c r="AC113" s="165"/>
    </row>
    <row r="114" spans="1:29" s="2" customFormat="1" ht="28" thickTop="1" thickBot="1" x14ac:dyDescent="0.35">
      <c r="A114" s="802" t="s">
        <v>310</v>
      </c>
      <c r="B114" s="803"/>
      <c r="C114" s="803"/>
      <c r="D114" s="803"/>
      <c r="E114" s="803"/>
      <c r="F114" s="803"/>
      <c r="G114" s="292"/>
      <c r="I114" s="119"/>
      <c r="M114" s="3" t="s">
        <v>17</v>
      </c>
      <c r="N114" s="4" t="s">
        <v>14</v>
      </c>
      <c r="O114" s="4" t="s">
        <v>15</v>
      </c>
      <c r="P114" s="4" t="s">
        <v>359</v>
      </c>
      <c r="Q114" s="4" t="s">
        <v>9</v>
      </c>
      <c r="R114" s="4" t="s">
        <v>16</v>
      </c>
      <c r="S114" s="5" t="s">
        <v>23</v>
      </c>
      <c r="T114" s="6" t="s">
        <v>24</v>
      </c>
      <c r="V114" s="7" t="s">
        <v>17</v>
      </c>
      <c r="W114" s="8" t="s">
        <v>21</v>
      </c>
      <c r="X114" s="9" t="s">
        <v>22</v>
      </c>
      <c r="Y114" s="210"/>
      <c r="AC114" s="165"/>
    </row>
    <row r="115" spans="1:29" s="2" customFormat="1" ht="49.5" customHeight="1" thickBot="1" x14ac:dyDescent="0.35">
      <c r="A115" s="388" t="s">
        <v>10</v>
      </c>
      <c r="B115" s="389" t="s">
        <v>554</v>
      </c>
      <c r="C115" s="389" t="s">
        <v>555</v>
      </c>
      <c r="D115" s="389" t="s">
        <v>549</v>
      </c>
      <c r="E115" s="389" t="s">
        <v>538</v>
      </c>
      <c r="F115" s="389" t="s">
        <v>550</v>
      </c>
      <c r="G115" s="292"/>
      <c r="H115" s="210"/>
      <c r="I115" s="210"/>
      <c r="J115" s="210"/>
      <c r="K115" s="241" t="s">
        <v>228</v>
      </c>
      <c r="M115" s="120">
        <v>0</v>
      </c>
      <c r="N115" s="121">
        <f>('Cost data'!C58+'Cost data'!C59)*F127</f>
        <v>0</v>
      </c>
      <c r="O115" s="121"/>
      <c r="P115" s="246">
        <f>IF(B$16="Single project",SUM('Cost data'!C$50:C$51),(IF(B$16="Group of projects",SUM('Cost data'!D$50:D$51),0)))</f>
        <v>2300</v>
      </c>
      <c r="Q115" s="122">
        <v>0</v>
      </c>
      <c r="R115" s="123">
        <f>IF(B$16="Single project",'Cost data'!C$52,IF(B$16="Group of projects",'Cost data'!D$52,0))</f>
        <v>2117</v>
      </c>
      <c r="S115" s="124">
        <f t="shared" ref="S115:S126" si="2">SUM(N115:R115)</f>
        <v>4417</v>
      </c>
      <c r="T115" s="125">
        <f>S115</f>
        <v>4417</v>
      </c>
      <c r="V115" s="120">
        <f t="shared" ref="V115:V127" si="3">M115</f>
        <v>0</v>
      </c>
      <c r="W115" s="105">
        <f>-S115</f>
        <v>-4417</v>
      </c>
      <c r="X115" s="126">
        <f>-S115</f>
        <v>-4417</v>
      </c>
      <c r="Y115" s="106"/>
      <c r="AC115" s="165"/>
    </row>
    <row r="116" spans="1:29" s="2" customFormat="1" ht="15" customHeight="1" x14ac:dyDescent="0.3">
      <c r="A116" s="390"/>
      <c r="B116" s="391"/>
      <c r="C116" s="391"/>
      <c r="D116" s="392"/>
      <c r="E116" s="393"/>
      <c r="F116" s="393"/>
      <c r="G116" s="292"/>
      <c r="H116" s="227"/>
      <c r="I116" s="227"/>
      <c r="J116" s="227"/>
      <c r="K116" s="242"/>
      <c r="M116" s="120">
        <f t="shared" ref="M116:M127" si="4">A116</f>
        <v>0</v>
      </c>
      <c r="N116" s="121"/>
      <c r="O116" s="121">
        <f>IF($B$16="Single project",MAX(100,F116*'Cost data'!$C$60),MAX(100/7,F116*'Cost data'!$C$60))</f>
        <v>100</v>
      </c>
      <c r="P116" s="246">
        <f>IF(B$16="Single project",'Cost data'!C$53,(IF(B$16="Group of projects",'Cost data'!D$53,0)))</f>
        <v>2250</v>
      </c>
      <c r="Q116" s="122">
        <f>IF(B$17="Yes",'Cost data'!E$62,IF(B$10&lt;=50,'Cost data'!D$62,'Cost data'!C$62))</f>
        <v>850</v>
      </c>
      <c r="R116" s="127">
        <f>IF(B$16="Single project",'Cost data'!C$54,IF(B$16="Group of projects",'Cost data'!D$54,0))</f>
        <v>2702</v>
      </c>
      <c r="S116" s="124">
        <f t="shared" si="2"/>
        <v>5902</v>
      </c>
      <c r="T116" s="125">
        <f t="shared" ref="T116:T126" si="5">T115+S116</f>
        <v>10319</v>
      </c>
      <c r="V116" s="120">
        <f t="shared" si="3"/>
        <v>0</v>
      </c>
      <c r="W116" s="105">
        <f>I116-S116</f>
        <v>-5902</v>
      </c>
      <c r="X116" s="126">
        <f>J116-T116</f>
        <v>-10319</v>
      </c>
      <c r="Y116" s="106"/>
      <c r="AC116" s="165"/>
    </row>
    <row r="117" spans="1:29" s="2" customFormat="1" ht="15" customHeight="1" x14ac:dyDescent="0.3">
      <c r="A117" s="394"/>
      <c r="B117" s="395"/>
      <c r="C117" s="395"/>
      <c r="D117" s="396"/>
      <c r="E117" s="397"/>
      <c r="F117" s="397"/>
      <c r="G117" s="292"/>
      <c r="H117" s="227"/>
      <c r="I117" s="227"/>
      <c r="J117" s="227"/>
      <c r="K117" s="243"/>
      <c r="M117" s="120">
        <f t="shared" si="4"/>
        <v>0</v>
      </c>
      <c r="N117" s="121"/>
      <c r="O117" s="121">
        <f>IF($B$16="Single project",MAX(100,F117*'Cost data'!$C$60),MAX(100/7,F117*'Cost data'!$C$60))</f>
        <v>100</v>
      </c>
      <c r="P117" s="246">
        <f>IF(A117&lt;=$B$13,IF($B$16="Single project",'Cost data'!$C$55,(IF($B$16="Group of projects",'Cost data'!$D$55,0))),0)</f>
        <v>2250</v>
      </c>
      <c r="Q117" s="122">
        <f>IF(A117&lt;=B$13,IF(B$17="Yes",'Cost data'!E$62,IF(B$10&lt;=50,'Cost data'!D$62,'Cost data'!C$62)),0)</f>
        <v>850</v>
      </c>
      <c r="R117" s="127">
        <f>IF(A117&lt;=B$13,(IF(B$16="Single project",'Cost data'!C$56,IF(B$16="Group of projects",'Cost data'!D$56,0))),0)</f>
        <v>2702</v>
      </c>
      <c r="S117" s="124">
        <f t="shared" si="2"/>
        <v>5902</v>
      </c>
      <c r="T117" s="125">
        <f t="shared" si="5"/>
        <v>16221</v>
      </c>
      <c r="V117" s="120">
        <f t="shared" si="3"/>
        <v>0</v>
      </c>
      <c r="W117" s="105">
        <f>IF($V117&lt;='Data entry'!$B$13,I117-S117,0)</f>
        <v>-5902</v>
      </c>
      <c r="X117" s="126">
        <f>IF($V117&lt;='Data entry'!$B$13,J117-T117,0)</f>
        <v>-16221</v>
      </c>
      <c r="Y117" s="106"/>
      <c r="AC117" s="165"/>
    </row>
    <row r="118" spans="1:29" s="2" customFormat="1" ht="15" customHeight="1" x14ac:dyDescent="0.3">
      <c r="A118" s="394"/>
      <c r="B118" s="395"/>
      <c r="C118" s="395"/>
      <c r="D118" s="396"/>
      <c r="E118" s="397"/>
      <c r="F118" s="397"/>
      <c r="G118" s="292"/>
      <c r="H118" s="227"/>
      <c r="I118" s="227"/>
      <c r="J118" s="227"/>
      <c r="K118" s="243"/>
      <c r="M118" s="120">
        <f t="shared" si="4"/>
        <v>0</v>
      </c>
      <c r="N118" s="121"/>
      <c r="O118" s="121">
        <f>IF($B$16="Single project",MAX(100,F118*'Cost data'!$C$60),MAX(100/7,F118*'Cost data'!$C$60))</f>
        <v>100</v>
      </c>
      <c r="P118" s="246">
        <f>IF(A118&lt;=$B$13,IF($B$16="Single project",'Cost data'!$C$55,(IF($B$16="Group of projects",'Cost data'!$D$55,0))),0)</f>
        <v>2250</v>
      </c>
      <c r="Q118" s="122">
        <f>IF(A118&lt;=B$13,IF(B$17="Yes",'Cost data'!E$62,IF(B$10&lt;=50,'Cost data'!D$62,'Cost data'!C$62)),0)</f>
        <v>850</v>
      </c>
      <c r="R118" s="127">
        <f>IF(A118&lt;=B$13,(IF(B$16="Single project",'Cost data'!C$56,IF(B$16="Group of projects",'Cost data'!D$56,0))),0)</f>
        <v>2702</v>
      </c>
      <c r="S118" s="124">
        <f t="shared" si="2"/>
        <v>5902</v>
      </c>
      <c r="T118" s="125">
        <f t="shared" si="5"/>
        <v>22123</v>
      </c>
      <c r="V118" s="120">
        <f t="shared" si="3"/>
        <v>0</v>
      </c>
      <c r="W118" s="105">
        <f>IF($V118&lt;='Data entry'!$B$13,I118-S118,0)</f>
        <v>-5902</v>
      </c>
      <c r="X118" s="126">
        <f>IF($V118&lt;='Data entry'!$B$13,J118-T118,0)</f>
        <v>-22123</v>
      </c>
      <c r="Y118" s="106"/>
      <c r="AC118" s="165"/>
    </row>
    <row r="119" spans="1:29" s="2" customFormat="1" ht="15" customHeight="1" x14ac:dyDescent="0.3">
      <c r="A119" s="394"/>
      <c r="B119" s="395"/>
      <c r="C119" s="395"/>
      <c r="D119" s="396"/>
      <c r="E119" s="397"/>
      <c r="F119" s="397"/>
      <c r="G119" s="292"/>
      <c r="H119" s="227"/>
      <c r="I119" s="227"/>
      <c r="J119" s="227"/>
      <c r="K119" s="243"/>
      <c r="M119" s="120">
        <f t="shared" si="4"/>
        <v>0</v>
      </c>
      <c r="N119" s="121"/>
      <c r="O119" s="121">
        <f>IF(A119&lt;=$B$13,IF($B$16="Single project",MAX(100,F119*'Cost data'!$C$60),MAX(100/7,F119*'Cost data'!$C$60)),0)</f>
        <v>100</v>
      </c>
      <c r="P119" s="246">
        <f>IF(A119&lt;=$B$13,IF($B$16="Single project",'Cost data'!$C$55,(IF($B$16="Group of projects",'Cost data'!$D$55,0))),0)</f>
        <v>2250</v>
      </c>
      <c r="Q119" s="122">
        <f>IF(A119&lt;=B$13,IF(B$17="Yes",'Cost data'!E$62,IF(B$10&lt;=50,'Cost data'!D$62,'Cost data'!C$62)),0)</f>
        <v>850</v>
      </c>
      <c r="R119" s="127">
        <f>IF(A119&lt;=B$13,(IF(B$16="Single project",'Cost data'!C$56,IF(B$16="Group of projects",'Cost data'!D$56,0))),0)</f>
        <v>2702</v>
      </c>
      <c r="S119" s="124">
        <f t="shared" si="2"/>
        <v>5902</v>
      </c>
      <c r="T119" s="125">
        <f t="shared" si="5"/>
        <v>28025</v>
      </c>
      <c r="V119" s="120">
        <f t="shared" si="3"/>
        <v>0</v>
      </c>
      <c r="W119" s="105">
        <f>IF($V119&lt;='Data entry'!$B$13,I119-S119,0)</f>
        <v>-5902</v>
      </c>
      <c r="X119" s="126">
        <f>IF($V119&lt;='Data entry'!$B$13,J119-T119,0)</f>
        <v>-28025</v>
      </c>
      <c r="Y119" s="106"/>
      <c r="AC119" s="165"/>
    </row>
    <row r="120" spans="1:29" s="2" customFormat="1" ht="15" customHeight="1" x14ac:dyDescent="0.3">
      <c r="A120" s="394"/>
      <c r="B120" s="395"/>
      <c r="C120" s="395"/>
      <c r="D120" s="396"/>
      <c r="E120" s="397"/>
      <c r="F120" s="397"/>
      <c r="G120" s="292"/>
      <c r="H120" s="227"/>
      <c r="I120" s="227"/>
      <c r="J120" s="227"/>
      <c r="K120" s="243"/>
      <c r="M120" s="120">
        <f t="shared" si="4"/>
        <v>0</v>
      </c>
      <c r="N120" s="121"/>
      <c r="O120" s="121">
        <f>IF(A120&lt;=$B$13,IF($B$16="Single project",MAX(100,F120*'Cost data'!$C$60),MAX(100/7,F120*'Cost data'!$C$60)),0)</f>
        <v>100</v>
      </c>
      <c r="P120" s="246">
        <f>IF(A120&lt;=$B$13,IF($B$16="Single project",'Cost data'!$C$55,(IF($B$16="Group of projects",'Cost data'!$D$55,0))),0)</f>
        <v>2250</v>
      </c>
      <c r="Q120" s="122">
        <f>IF(A120&lt;=B$13,IF(B$17="Yes",'Cost data'!E$62,IF(B$10&lt;=50,'Cost data'!D$62,'Cost data'!C$62)),0)</f>
        <v>850</v>
      </c>
      <c r="R120" s="127">
        <f>IF(A120&lt;=B$13,(IF(B$16="Single project",'Cost data'!C$56,IF(B$16="Group of projects",'Cost data'!D$56,0))),0)</f>
        <v>2702</v>
      </c>
      <c r="S120" s="124">
        <f t="shared" si="2"/>
        <v>5902</v>
      </c>
      <c r="T120" s="125">
        <f t="shared" si="5"/>
        <v>33927</v>
      </c>
      <c r="V120" s="120">
        <f t="shared" si="3"/>
        <v>0</v>
      </c>
      <c r="W120" s="105">
        <f>IF($V120&lt;='Data entry'!$B$13,I120-S120,0)</f>
        <v>-5902</v>
      </c>
      <c r="X120" s="126">
        <f>IF($V120&lt;='Data entry'!$B$13,J120-T120,0)</f>
        <v>-33927</v>
      </c>
      <c r="Y120" s="106"/>
      <c r="AC120" s="165"/>
    </row>
    <row r="121" spans="1:29" s="2" customFormat="1" ht="15" customHeight="1" x14ac:dyDescent="0.3">
      <c r="A121" s="394"/>
      <c r="B121" s="395"/>
      <c r="C121" s="395"/>
      <c r="D121" s="396"/>
      <c r="E121" s="397"/>
      <c r="F121" s="397"/>
      <c r="G121" s="292"/>
      <c r="H121" s="227"/>
      <c r="I121" s="227"/>
      <c r="J121" s="227"/>
      <c r="K121" s="243"/>
      <c r="M121" s="120">
        <f t="shared" si="4"/>
        <v>0</v>
      </c>
      <c r="N121" s="121"/>
      <c r="O121" s="121">
        <f>IF(A121&lt;=$B$13,IF($B$16="Single project",MAX(100,F121*'Cost data'!$C$60),MAX(100/7,F121*'Cost data'!$C$60)),0)</f>
        <v>100</v>
      </c>
      <c r="P121" s="246">
        <f>IF(A121&lt;=$B$13,IF($B$16="Single project",'Cost data'!$C$55,(IF($B$16="Group of projects",'Cost data'!$D$55,0))),0)</f>
        <v>2250</v>
      </c>
      <c r="Q121" s="122">
        <f>IF(A121&lt;=B$13,IF(B$17="Yes",'Cost data'!E$62,IF(B$10&lt;=50,'Cost data'!D$62,'Cost data'!C$62)),0)</f>
        <v>850</v>
      </c>
      <c r="R121" s="127">
        <f>IF(A121&lt;=B$13,(IF(B$16="Single project",'Cost data'!C$56,IF(B$16="Group of projects",'Cost data'!D$56,0))),0)</f>
        <v>2702</v>
      </c>
      <c r="S121" s="124">
        <f t="shared" si="2"/>
        <v>5902</v>
      </c>
      <c r="T121" s="125">
        <f t="shared" si="5"/>
        <v>39829</v>
      </c>
      <c r="V121" s="120">
        <f t="shared" si="3"/>
        <v>0</v>
      </c>
      <c r="W121" s="105">
        <f>IF($V121&lt;='Data entry'!$B$13,I121-S121,0)</f>
        <v>-5902</v>
      </c>
      <c r="X121" s="126">
        <f>IF($V121&lt;='Data entry'!$B$13,J121-T121,0)</f>
        <v>-39829</v>
      </c>
      <c r="Y121" s="106"/>
      <c r="AC121" s="165"/>
    </row>
    <row r="122" spans="1:29" s="2" customFormat="1" ht="15" customHeight="1" x14ac:dyDescent="0.3">
      <c r="A122" s="394"/>
      <c r="B122" s="395"/>
      <c r="C122" s="395"/>
      <c r="D122" s="396"/>
      <c r="E122" s="397"/>
      <c r="F122" s="397"/>
      <c r="G122" s="292"/>
      <c r="H122" s="227"/>
      <c r="I122" s="227"/>
      <c r="J122" s="227"/>
      <c r="K122" s="243"/>
      <c r="M122" s="120">
        <f t="shared" si="4"/>
        <v>0</v>
      </c>
      <c r="N122" s="121"/>
      <c r="O122" s="121">
        <f>IF(A122&lt;=$B$13,IF($B$16="Single project",MAX(100,F122*'Cost data'!$C$60),MAX(100/7,F122*'Cost data'!$C$60)),0)</f>
        <v>100</v>
      </c>
      <c r="P122" s="246">
        <f>IF(A122&lt;=$B$13,IF($B$16="Single project",'Cost data'!$C$55,(IF($B$16="Group of projects",'Cost data'!$D$55,0))),0)</f>
        <v>2250</v>
      </c>
      <c r="Q122" s="122">
        <f>IF(A122&lt;=B$13,IF(B$17="Yes",'Cost data'!E$62,IF(B$10&lt;=50,'Cost data'!D$62,'Cost data'!C$62)),0)</f>
        <v>850</v>
      </c>
      <c r="R122" s="127">
        <f>IF(A122&lt;=B$13,(IF(B$16="Single project",'Cost data'!C$56,IF(B$16="Group of projects",'Cost data'!D$56,0))),0)</f>
        <v>2702</v>
      </c>
      <c r="S122" s="124">
        <f t="shared" si="2"/>
        <v>5902</v>
      </c>
      <c r="T122" s="125">
        <f t="shared" si="5"/>
        <v>45731</v>
      </c>
      <c r="V122" s="120">
        <f t="shared" si="3"/>
        <v>0</v>
      </c>
      <c r="W122" s="105">
        <f>IF($V122&lt;='Data entry'!$B$13,I122-S122,0)</f>
        <v>-5902</v>
      </c>
      <c r="X122" s="126">
        <f>IF($V122&lt;='Data entry'!$B$13,J122-T122,0)</f>
        <v>-45731</v>
      </c>
      <c r="Y122" s="106"/>
      <c r="AC122" s="165"/>
    </row>
    <row r="123" spans="1:29" s="2" customFormat="1" ht="15" customHeight="1" x14ac:dyDescent="0.3">
      <c r="A123" s="394"/>
      <c r="B123" s="395"/>
      <c r="C123" s="395"/>
      <c r="D123" s="396"/>
      <c r="E123" s="397"/>
      <c r="F123" s="397"/>
      <c r="G123" s="292"/>
      <c r="H123" s="227"/>
      <c r="I123" s="227"/>
      <c r="J123" s="227"/>
      <c r="K123" s="243"/>
      <c r="M123" s="120">
        <f t="shared" si="4"/>
        <v>0</v>
      </c>
      <c r="N123" s="121"/>
      <c r="O123" s="121">
        <f>IF(A123&lt;=$B$13,IF($B$16="Single project",MAX(100,F123*'Cost data'!$C$60),MAX(100/7,F123*'Cost data'!$C$60)),0)</f>
        <v>100</v>
      </c>
      <c r="P123" s="246">
        <f>IF(A123&lt;=$B$13,IF($B$16="Single project",'Cost data'!$C$55,(IF($B$16="Group of projects",'Cost data'!$D$55,0))),0)</f>
        <v>2250</v>
      </c>
      <c r="Q123" s="122">
        <f>IF(A123&lt;=B$13,IF(B$17="Yes",'Cost data'!E$62,IF(B$10&lt;=50,'Cost data'!D$62,'Cost data'!C$62)),0)</f>
        <v>850</v>
      </c>
      <c r="R123" s="127">
        <f>IF(A123&lt;=B$13,(IF(B$16="Single project",'Cost data'!C$56,IF(B$16="Group of projects",'Cost data'!D$56,0))),0)</f>
        <v>2702</v>
      </c>
      <c r="S123" s="124">
        <f t="shared" si="2"/>
        <v>5902</v>
      </c>
      <c r="T123" s="125">
        <f t="shared" si="5"/>
        <v>51633</v>
      </c>
      <c r="V123" s="120">
        <f t="shared" si="3"/>
        <v>0</v>
      </c>
      <c r="W123" s="105">
        <f>IF($V123&lt;='Data entry'!$B$13,I123-S123,0)</f>
        <v>-5902</v>
      </c>
      <c r="X123" s="126">
        <f>IF($V123&lt;='Data entry'!$B$13,J123-T123,0)</f>
        <v>-51633</v>
      </c>
      <c r="Y123" s="106"/>
      <c r="AC123" s="165"/>
    </row>
    <row r="124" spans="1:29" s="2" customFormat="1" ht="15" customHeight="1" x14ac:dyDescent="0.3">
      <c r="A124" s="394"/>
      <c r="B124" s="395"/>
      <c r="C124" s="395"/>
      <c r="D124" s="396"/>
      <c r="E124" s="397"/>
      <c r="F124" s="397"/>
      <c r="G124" s="292"/>
      <c r="H124" s="227"/>
      <c r="I124" s="227"/>
      <c r="J124" s="227"/>
      <c r="K124" s="243"/>
      <c r="M124" s="120">
        <f t="shared" si="4"/>
        <v>0</v>
      </c>
      <c r="N124" s="121"/>
      <c r="O124" s="121">
        <f>IF(A124&lt;=$B$13,IF($B$16="Single project",MAX(100,F124*'Cost data'!$C$60),MAX(100/7,F124*'Cost data'!$C$60)),0)</f>
        <v>100</v>
      </c>
      <c r="P124" s="246">
        <f>IF(A124&lt;=$B$13,IF($B$16="Single project",'Cost data'!$C$55,(IF($B$16="Group of projects",'Cost data'!$D$55,0))),0)</f>
        <v>2250</v>
      </c>
      <c r="Q124" s="122">
        <f>IF(A124&lt;=B$13,IF(B$17="Yes",'Cost data'!E$62,IF(B$10&lt;=50,'Cost data'!D$62,'Cost data'!C$62)),0)</f>
        <v>850</v>
      </c>
      <c r="R124" s="127">
        <f>IF(A124&lt;=B$13,(IF(B$16="Single project",'Cost data'!C$56,IF(B$16="Group of projects",'Cost data'!D$56,0))),0)</f>
        <v>2702</v>
      </c>
      <c r="S124" s="124">
        <f t="shared" si="2"/>
        <v>5902</v>
      </c>
      <c r="T124" s="125">
        <f t="shared" si="5"/>
        <v>57535</v>
      </c>
      <c r="V124" s="120">
        <f t="shared" si="3"/>
        <v>0</v>
      </c>
      <c r="W124" s="105">
        <f>IF($V124&lt;='Data entry'!$B$13,I124-S124,0)</f>
        <v>-5902</v>
      </c>
      <c r="X124" s="126">
        <f>IF($V124&lt;='Data entry'!$B$13,J124-T124,0)</f>
        <v>-57535</v>
      </c>
      <c r="Y124" s="106"/>
      <c r="AC124" s="165"/>
    </row>
    <row r="125" spans="1:29" s="2" customFormat="1" ht="15" customHeight="1" x14ac:dyDescent="0.3">
      <c r="A125" s="398"/>
      <c r="B125" s="395"/>
      <c r="C125" s="395"/>
      <c r="D125" s="399"/>
      <c r="E125" s="397"/>
      <c r="F125" s="397"/>
      <c r="G125" s="292"/>
      <c r="H125" s="227"/>
      <c r="I125" s="227"/>
      <c r="J125" s="227"/>
      <c r="K125" s="243"/>
      <c r="M125" s="120">
        <f t="shared" si="4"/>
        <v>0</v>
      </c>
      <c r="N125" s="121"/>
      <c r="O125" s="121">
        <f>IF(A125&lt;=$B$13,IF($B$16="Single project",MAX(100,F125*'Cost data'!$C$60),MAX(100/7,F125*'Cost data'!$C$60)),0)</f>
        <v>100</v>
      </c>
      <c r="P125" s="246">
        <f>IF(A125&lt;=$B$13,IF($B$16="Single project",'Cost data'!$C$55,(IF($B$16="Group of projects",'Cost data'!$D$55,0))),0)</f>
        <v>2250</v>
      </c>
      <c r="Q125" s="122">
        <f>IF(A125&lt;=B$13,IF(B$17="Yes",'Cost data'!E$62,IF(B$10&lt;=50,'Cost data'!D$62,'Cost data'!C$62)),0)</f>
        <v>850</v>
      </c>
      <c r="R125" s="127">
        <f>IF(A125&lt;=B$13,(IF(B$16="Single project",'Cost data'!C$56,IF(B$16="Group of projects",'Cost data'!D$56,0))),0)</f>
        <v>2702</v>
      </c>
      <c r="S125" s="124">
        <f t="shared" si="2"/>
        <v>5902</v>
      </c>
      <c r="T125" s="125">
        <f t="shared" si="5"/>
        <v>63437</v>
      </c>
      <c r="V125" s="120">
        <f t="shared" si="3"/>
        <v>0</v>
      </c>
      <c r="W125" s="105">
        <f>IF($V125&lt;='Data entry'!$B$13,I125-S125,0)</f>
        <v>-5902</v>
      </c>
      <c r="X125" s="126">
        <f>IF($V125&lt;='Data entry'!$B$13,J125-T125,0)</f>
        <v>-63437</v>
      </c>
      <c r="Y125" s="106"/>
      <c r="AC125" s="165"/>
    </row>
    <row r="126" spans="1:29" s="2" customFormat="1" ht="15" customHeight="1" thickBot="1" x14ac:dyDescent="0.35">
      <c r="A126" s="400"/>
      <c r="B126" s="401"/>
      <c r="C126" s="401"/>
      <c r="D126" s="402"/>
      <c r="E126" s="403"/>
      <c r="F126" s="403"/>
      <c r="G126" s="292"/>
      <c r="H126" s="227"/>
      <c r="I126" s="227"/>
      <c r="J126" s="227"/>
      <c r="K126" s="244"/>
      <c r="M126" s="120">
        <f t="shared" si="4"/>
        <v>0</v>
      </c>
      <c r="N126" s="121"/>
      <c r="O126" s="121">
        <f>IF(A126&lt;=$B$13,IF($B$16="Single project",MAX(100,F126*'Cost data'!$C$60),MAX(100/7,F126*'Cost data'!$C$60)),0)</f>
        <v>100</v>
      </c>
      <c r="P126" s="246">
        <f>IF(A126&lt;=$B$13,IF($B$16="Single project",'Cost data'!$C$55,(IF($B$16="Group of projects",'Cost data'!$D$55,0))),0)</f>
        <v>2250</v>
      </c>
      <c r="Q126" s="122">
        <f>IF(A126&lt;=B$13,IF(B$17="Yes",'Cost data'!E$62,IF(B$10&lt;=50,'Cost data'!D$62,'Cost data'!C$62)),0)</f>
        <v>850</v>
      </c>
      <c r="R126" s="127">
        <f>IF(A126&lt;=B$13,(IF(B$16="Single project",'Cost data'!C$56,IF(B$16="Group of projects",'Cost data'!D$56,0))),0)</f>
        <v>2702</v>
      </c>
      <c r="S126" s="124">
        <f t="shared" si="2"/>
        <v>5902</v>
      </c>
      <c r="T126" s="125">
        <f t="shared" si="5"/>
        <v>69339</v>
      </c>
      <c r="V126" s="120">
        <f t="shared" si="3"/>
        <v>0</v>
      </c>
      <c r="W126" s="105">
        <f>IF($V126&lt;='Data entry'!$B$13,I126-S126,0)</f>
        <v>-5902</v>
      </c>
      <c r="X126" s="126">
        <f>IF($V126&lt;='Data entry'!$B$13,J126-T126,0)</f>
        <v>-69339</v>
      </c>
      <c r="Y126" s="106"/>
      <c r="AC126" s="165"/>
    </row>
    <row r="127" spans="1:29" s="2" customFormat="1" ht="15" customHeight="1" thickBot="1" x14ac:dyDescent="0.35">
      <c r="A127" s="404" t="s">
        <v>7</v>
      </c>
      <c r="B127" s="405"/>
      <c r="C127" s="405"/>
      <c r="D127" s="406"/>
      <c r="E127" s="406"/>
      <c r="F127" s="406"/>
      <c r="G127" s="292"/>
      <c r="H127" s="228"/>
      <c r="I127" s="231"/>
      <c r="J127" s="231"/>
      <c r="K127" s="245">
        <f>F127*'Income data'!K4</f>
        <v>0</v>
      </c>
      <c r="M127" s="128" t="str">
        <f t="shared" si="4"/>
        <v>Total</v>
      </c>
      <c r="N127" s="129">
        <f>SUM(N115:N126)</f>
        <v>0</v>
      </c>
      <c r="O127" s="129">
        <f t="shared" ref="O127:S127" si="6">SUM(O115:O126)</f>
        <v>1100</v>
      </c>
      <c r="P127" s="129">
        <f t="shared" ref="P127" si="7">SUM(P115:P126)</f>
        <v>27050</v>
      </c>
      <c r="Q127" s="129">
        <f t="shared" si="6"/>
        <v>9350</v>
      </c>
      <c r="R127" s="129">
        <f t="shared" si="6"/>
        <v>31839</v>
      </c>
      <c r="S127" s="130">
        <f t="shared" si="6"/>
        <v>69339</v>
      </c>
      <c r="T127" s="131">
        <f>T126</f>
        <v>69339</v>
      </c>
      <c r="V127" s="132" t="str">
        <f t="shared" si="3"/>
        <v>Total</v>
      </c>
      <c r="W127" s="133">
        <f>SUM(W115:W126)</f>
        <v>-69339</v>
      </c>
      <c r="X127" s="134"/>
      <c r="Y127" s="224"/>
      <c r="AC127" s="165"/>
    </row>
    <row r="128" spans="1:29" s="2" customFormat="1" ht="14.5" thickBot="1" x14ac:dyDescent="0.35">
      <c r="A128" s="407"/>
      <c r="B128" s="310"/>
      <c r="C128" s="408" t="s">
        <v>556</v>
      </c>
      <c r="D128" s="409"/>
      <c r="E128" s="409"/>
      <c r="F128" s="409"/>
      <c r="G128" s="292"/>
      <c r="H128" s="229"/>
      <c r="I128" s="229"/>
      <c r="W128" s="135"/>
      <c r="AC128" s="165"/>
    </row>
    <row r="129" spans="1:29" s="2" customFormat="1" ht="28" thickTop="1" thickBot="1" x14ac:dyDescent="0.35">
      <c r="A129" s="802" t="s">
        <v>312</v>
      </c>
      <c r="B129" s="803"/>
      <c r="C129" s="803"/>
      <c r="D129" s="803"/>
      <c r="E129" s="803"/>
      <c r="F129" s="803"/>
      <c r="G129" s="292"/>
      <c r="M129" s="10" t="s">
        <v>17</v>
      </c>
      <c r="N129" s="11" t="s">
        <v>14</v>
      </c>
      <c r="O129" s="11" t="s">
        <v>15</v>
      </c>
      <c r="P129" s="11" t="s">
        <v>359</v>
      </c>
      <c r="Q129" s="11" t="s">
        <v>9</v>
      </c>
      <c r="R129" s="12" t="s">
        <v>16</v>
      </c>
      <c r="S129" s="13" t="s">
        <v>23</v>
      </c>
      <c r="T129" s="14" t="s">
        <v>24</v>
      </c>
      <c r="V129" s="7" t="s">
        <v>17</v>
      </c>
      <c r="W129" s="8" t="s">
        <v>21</v>
      </c>
      <c r="X129" s="9" t="s">
        <v>22</v>
      </c>
      <c r="Y129" s="210"/>
      <c r="AC129" s="165"/>
    </row>
    <row r="130" spans="1:29" s="2" customFormat="1" ht="54.5" thickBot="1" x14ac:dyDescent="0.35">
      <c r="A130" s="410" t="s">
        <v>10</v>
      </c>
      <c r="B130" s="411" t="s">
        <v>554</v>
      </c>
      <c r="C130" s="411" t="s">
        <v>555</v>
      </c>
      <c r="D130" s="411" t="s">
        <v>549</v>
      </c>
      <c r="E130" s="411" t="s">
        <v>538</v>
      </c>
      <c r="F130" s="411" t="s">
        <v>550</v>
      </c>
      <c r="G130" s="292"/>
      <c r="H130" s="210"/>
      <c r="I130" s="210"/>
      <c r="J130" s="210"/>
      <c r="K130" s="235" t="s">
        <v>227</v>
      </c>
      <c r="M130" s="136">
        <v>0</v>
      </c>
      <c r="N130" s="121">
        <f>('Cost data'!C58+'Cost data'!C59)*F144</f>
        <v>0</v>
      </c>
      <c r="O130" s="121"/>
      <c r="P130" s="246">
        <f>IF(B$16="Single project",SUM('Cost data'!C$50:C$51),(IF(B$16="Group of projects",SUM('Cost data'!D$50:D$51),0)))</f>
        <v>2300</v>
      </c>
      <c r="Q130" s="122"/>
      <c r="R130" s="123">
        <f>IF(B$16="Single project",'Cost data'!C$52,IF(B$16="Group of projects",'Cost data'!D$52,0))</f>
        <v>2117</v>
      </c>
      <c r="S130" s="137">
        <f>SUM(N130:R130)</f>
        <v>4417</v>
      </c>
      <c r="T130" s="138">
        <f>S130</f>
        <v>4417</v>
      </c>
      <c r="V130" s="120">
        <v>0</v>
      </c>
      <c r="W130" s="105">
        <f>-S130</f>
        <v>-4417</v>
      </c>
      <c r="X130" s="126">
        <f>-S130</f>
        <v>-4417</v>
      </c>
      <c r="Y130" s="106"/>
      <c r="AC130" s="165"/>
    </row>
    <row r="131" spans="1:29" s="2" customFormat="1" ht="15" customHeight="1" x14ac:dyDescent="0.3">
      <c r="A131" s="412"/>
      <c r="B131" s="799"/>
      <c r="C131" s="799"/>
      <c r="D131" s="413"/>
      <c r="E131" s="414"/>
      <c r="F131" s="414"/>
      <c r="G131" s="292"/>
      <c r="H131" s="227"/>
      <c r="I131" s="135"/>
      <c r="J131" s="135"/>
      <c r="K131" s="237"/>
      <c r="M131" s="136">
        <f t="shared" ref="M131:M143" si="8">A131</f>
        <v>0</v>
      </c>
      <c r="N131" s="121"/>
      <c r="O131" s="121">
        <f>IF($B$16="Single project",MAX(100,F131*'Cost data'!$C$60),MAX(100/7,F131*'Cost data'!$C$60))</f>
        <v>100</v>
      </c>
      <c r="P131" s="246">
        <f>IF(B$16="Single project",'Cost data'!C$53,(IF(B$16="Group of projects",'Cost data'!D$53,0)))</f>
        <v>2250</v>
      </c>
      <c r="Q131" s="122">
        <f>IF(B$17="Yes",'Cost data'!E$62,IF(B$10&lt;=50,'Cost data'!D$62,'Cost data'!C$62))</f>
        <v>850</v>
      </c>
      <c r="R131" s="127">
        <f>IF(B$16="Single project",'Cost data'!C$54,IF(B$16="Group of projects",'Cost data'!D$54,0))</f>
        <v>2702</v>
      </c>
      <c r="S131" s="137">
        <f>SUM(N131:R131)</f>
        <v>5902</v>
      </c>
      <c r="T131" s="138">
        <f>T130+S131</f>
        <v>10319</v>
      </c>
      <c r="V131" s="120">
        <f t="shared" ref="V131:V142" si="9">M131</f>
        <v>0</v>
      </c>
      <c r="W131" s="105">
        <f t="shared" ref="W131:X134" si="10">I131-S131</f>
        <v>-5902</v>
      </c>
      <c r="X131" s="126">
        <f t="shared" si="10"/>
        <v>-10319</v>
      </c>
      <c r="Y131" s="106"/>
      <c r="AC131" s="165"/>
    </row>
    <row r="132" spans="1:29" s="2" customFormat="1" ht="15" customHeight="1" x14ac:dyDescent="0.3">
      <c r="A132" s="415"/>
      <c r="B132" s="800"/>
      <c r="C132" s="800"/>
      <c r="D132" s="416"/>
      <c r="E132" s="417"/>
      <c r="F132" s="417"/>
      <c r="G132" s="292"/>
      <c r="H132" s="227"/>
      <c r="I132" s="135"/>
      <c r="J132" s="135"/>
      <c r="K132" s="238"/>
      <c r="M132" s="136">
        <f t="shared" si="8"/>
        <v>0</v>
      </c>
      <c r="N132" s="121"/>
      <c r="O132" s="121">
        <f>IF(A132&lt;=$B$13,IF($B$16="Single project",MAX(100,F132*'Cost data'!$C$60),MAX(100/7,F132*'Cost data'!$C$60)),0)</f>
        <v>100</v>
      </c>
      <c r="P132" s="246">
        <f>IF(A132&lt;=$B$13,IF($B$16="Single project",'Cost data'!$C$55,(IF($B$16="Group of projects",'Cost data'!$D$55,0))),0)</f>
        <v>2250</v>
      </c>
      <c r="Q132" s="122">
        <f>IF(A132&lt;=B$13,IF(B$17="Yes",'Cost data'!E$62,IF(B$10&lt;=50,'Cost data'!D$62,'Cost data'!C$62)),0)</f>
        <v>850</v>
      </c>
      <c r="R132" s="127">
        <f>IF(A132&lt;=B$13,(IF(B$16="Single project",'Cost data'!C$56,IF(B$16="Group of projects",'Cost data'!D$56,0))),0)</f>
        <v>2702</v>
      </c>
      <c r="S132" s="137">
        <f>SUM(N132:R132)</f>
        <v>5902</v>
      </c>
      <c r="T132" s="138">
        <f>T131+S132</f>
        <v>16221</v>
      </c>
      <c r="V132" s="120">
        <f t="shared" si="9"/>
        <v>0</v>
      </c>
      <c r="W132" s="105">
        <f t="shared" si="10"/>
        <v>-5902</v>
      </c>
      <c r="X132" s="126">
        <f t="shared" si="10"/>
        <v>-16221</v>
      </c>
      <c r="Y132" s="106"/>
      <c r="AC132" s="165"/>
    </row>
    <row r="133" spans="1:29" s="2" customFormat="1" ht="15" customHeight="1" x14ac:dyDescent="0.3">
      <c r="A133" s="415"/>
      <c r="B133" s="800"/>
      <c r="C133" s="800"/>
      <c r="D133" s="416"/>
      <c r="E133" s="417"/>
      <c r="F133" s="417"/>
      <c r="G133" s="292"/>
      <c r="H133" s="227"/>
      <c r="I133" s="135"/>
      <c r="J133" s="135"/>
      <c r="K133" s="238"/>
      <c r="M133" s="136">
        <f t="shared" si="8"/>
        <v>0</v>
      </c>
      <c r="N133" s="121"/>
      <c r="O133" s="121">
        <f>IF(A133&lt;=$B$13,IF($B$16="Single project",MAX(100,F133*'Cost data'!$C$60),MAX(100/7,F133*'Cost data'!$C$60)),0)</f>
        <v>100</v>
      </c>
      <c r="P133" s="246">
        <f>IF(A133&lt;=$B$13,IF($B$16="Single project",'Cost data'!$C$55,(IF($B$16="Group of projects",'Cost data'!$D$55,0))),0)</f>
        <v>2250</v>
      </c>
      <c r="Q133" s="122">
        <f>IF(A133&lt;=B$13,IF(B$17="Yes",'Cost data'!E$62,IF(B$10&lt;=50,'Cost data'!D$62,'Cost data'!C$62)),0)</f>
        <v>850</v>
      </c>
      <c r="R133" s="127">
        <f>IF(A133&lt;=B$13,(IF(B$16="Single project",'Cost data'!C$56,IF(B$16="Group of projects",'Cost data'!D$56,0))),0)</f>
        <v>2702</v>
      </c>
      <c r="S133" s="137">
        <f>SUM(N133:R133)</f>
        <v>5902</v>
      </c>
      <c r="T133" s="138">
        <f>T132+S133</f>
        <v>22123</v>
      </c>
      <c r="V133" s="120">
        <f t="shared" si="9"/>
        <v>0</v>
      </c>
      <c r="W133" s="105">
        <f t="shared" si="10"/>
        <v>-5902</v>
      </c>
      <c r="X133" s="126">
        <f t="shared" si="10"/>
        <v>-22123</v>
      </c>
      <c r="Y133" s="106"/>
      <c r="AC133" s="165"/>
    </row>
    <row r="134" spans="1:29" s="2" customFormat="1" ht="15" customHeight="1" thickBot="1" x14ac:dyDescent="0.35">
      <c r="A134" s="418"/>
      <c r="B134" s="801"/>
      <c r="C134" s="800"/>
      <c r="D134" s="419"/>
      <c r="E134" s="417"/>
      <c r="F134" s="417"/>
      <c r="G134" s="292"/>
      <c r="H134" s="227"/>
      <c r="I134" s="135"/>
      <c r="J134" s="135"/>
      <c r="K134" s="238"/>
      <c r="M134" s="136">
        <f t="shared" si="8"/>
        <v>0</v>
      </c>
      <c r="N134" s="121"/>
      <c r="O134" s="121">
        <f>IF(A134&lt;=$B$13,IF($B$16="Single project",MAX(100,F134*'Cost data'!$C$60),MAX(100/7,F134*'Cost data'!$C$60)),0)</f>
        <v>100</v>
      </c>
      <c r="P134" s="246">
        <f>IF(A134&lt;=$B$13,IF($B$16="Single project",'Cost data'!$C$55,(IF($B$16="Group of projects",'Cost data'!$D$55,0))),0)</f>
        <v>2250</v>
      </c>
      <c r="Q134" s="122">
        <f>IF(A134&lt;=B$13,IF(B$17="Yes",'Cost data'!E$62,IF(B$10&lt;=50,'Cost data'!D$62,'Cost data'!C$62)),0)</f>
        <v>850</v>
      </c>
      <c r="R134" s="127">
        <f>IF(A134&lt;=B$13,(IF(B$16="Single project",'Cost data'!C$56,IF(B$16="Group of projects",'Cost data'!D$56,0))),0)</f>
        <v>2702</v>
      </c>
      <c r="S134" s="137">
        <f>SUM(N134:R134)</f>
        <v>5902</v>
      </c>
      <c r="T134" s="138">
        <f>T133+S134</f>
        <v>28025</v>
      </c>
      <c r="V134" s="120">
        <f t="shared" si="9"/>
        <v>0</v>
      </c>
      <c r="W134" s="105">
        <f t="shared" si="10"/>
        <v>-5902</v>
      </c>
      <c r="X134" s="126">
        <f t="shared" si="10"/>
        <v>-28025</v>
      </c>
      <c r="Y134" s="106"/>
      <c r="AC134" s="165"/>
    </row>
    <row r="135" spans="1:29" s="2" customFormat="1" ht="15" customHeight="1" thickBot="1" x14ac:dyDescent="0.35">
      <c r="A135" s="887" t="s">
        <v>11</v>
      </c>
      <c r="B135" s="421"/>
      <c r="C135" s="422"/>
      <c r="D135" s="423"/>
      <c r="E135" s="423"/>
      <c r="F135" s="423"/>
      <c r="G135" s="292"/>
      <c r="H135" s="230"/>
      <c r="I135" s="232"/>
      <c r="J135" s="232"/>
      <c r="K135" s="239"/>
      <c r="L135" s="139"/>
      <c r="M135" s="140" t="str">
        <f t="shared" si="8"/>
        <v>Subtotal - claimable under WCaG to f/y 2055/56</v>
      </c>
      <c r="N135" s="141">
        <f t="shared" ref="N135:S135" si="11">SUM(N130:N134)</f>
        <v>0</v>
      </c>
      <c r="O135" s="141">
        <f t="shared" si="11"/>
        <v>400</v>
      </c>
      <c r="P135" s="141">
        <f t="shared" si="11"/>
        <v>11300</v>
      </c>
      <c r="Q135" s="141">
        <f t="shared" si="11"/>
        <v>3400</v>
      </c>
      <c r="R135" s="142">
        <f t="shared" si="11"/>
        <v>12925</v>
      </c>
      <c r="S135" s="143">
        <f t="shared" si="11"/>
        <v>28025</v>
      </c>
      <c r="T135" s="144">
        <f>T134</f>
        <v>28025</v>
      </c>
      <c r="U135" s="139"/>
      <c r="V135" s="145" t="str">
        <f t="shared" si="9"/>
        <v>Subtotal - claimable under WCaG to f/y 2055/56</v>
      </c>
      <c r="W135" s="146">
        <f>SUM(W130:W134)</f>
        <v>-28025</v>
      </c>
      <c r="X135" s="147">
        <f>X134</f>
        <v>-28025</v>
      </c>
      <c r="Y135" s="209"/>
      <c r="AC135" s="165"/>
    </row>
    <row r="136" spans="1:29" s="2" customFormat="1" ht="15" customHeight="1" x14ac:dyDescent="0.3">
      <c r="A136" s="412"/>
      <c r="B136" s="424"/>
      <c r="C136" s="424"/>
      <c r="D136" s="413"/>
      <c r="E136" s="417"/>
      <c r="F136" s="417"/>
      <c r="G136" s="292"/>
      <c r="H136" s="227"/>
      <c r="I136" s="227"/>
      <c r="J136" s="135"/>
      <c r="K136" s="238"/>
      <c r="M136" s="136">
        <f t="shared" si="8"/>
        <v>0</v>
      </c>
      <c r="N136" s="121"/>
      <c r="O136" s="121">
        <f>IF(A136&lt;=$B$13,IF($B$16="Single project",MAX(100,F136*'Cost data'!$C$60),MAX(100/7,F136*'Cost data'!$C$60)),0)</f>
        <v>100</v>
      </c>
      <c r="P136" s="246">
        <f>IF(A136&lt;=$B$13,IF($B$16="Single project",'Cost data'!$C$55,(IF($B$16="Group of projects",'Cost data'!$D$55,0))),0)</f>
        <v>2250</v>
      </c>
      <c r="Q136" s="122">
        <f>IF(A136&lt;=B$13,IF(B$17="Yes",'Cost data'!E$62,IF(B$10&lt;=50,'Cost data'!D$62,'Cost data'!C$62)),0)</f>
        <v>850</v>
      </c>
      <c r="R136" s="127">
        <f>IF(A136&lt;=B$13,(IF(B$16="Single project",'Cost data'!C$56,IF(B$16="Group of projects",'Cost data'!D$56,0))),0)</f>
        <v>2702</v>
      </c>
      <c r="S136" s="137">
        <f t="shared" ref="S136:S142" si="12">SUM(N136:R136)</f>
        <v>5902</v>
      </c>
      <c r="T136" s="138">
        <f>T134+S136</f>
        <v>33927</v>
      </c>
      <c r="V136" s="120">
        <f t="shared" si="9"/>
        <v>0</v>
      </c>
      <c r="W136" s="105">
        <f>IF(M136&lt;='Data entry'!$B$13,I136-S136,0)</f>
        <v>-5902</v>
      </c>
      <c r="X136" s="126">
        <f>IF(M136&lt;='Data entry'!$B$13,J136-T136,0)</f>
        <v>-33927</v>
      </c>
      <c r="Y136" s="106"/>
      <c r="AC136" s="165"/>
    </row>
    <row r="137" spans="1:29" s="2" customFormat="1" ht="15" customHeight="1" x14ac:dyDescent="0.3">
      <c r="A137" s="415"/>
      <c r="B137" s="425"/>
      <c r="C137" s="425"/>
      <c r="D137" s="416"/>
      <c r="E137" s="417"/>
      <c r="F137" s="417"/>
      <c r="G137" s="292"/>
      <c r="H137" s="227"/>
      <c r="I137" s="227"/>
      <c r="J137" s="135"/>
      <c r="K137" s="238"/>
      <c r="M137" s="136">
        <f t="shared" si="8"/>
        <v>0</v>
      </c>
      <c r="N137" s="121"/>
      <c r="O137" s="121">
        <f>IF(A137&lt;=$B$13,IF($B$16="Single project",MAX(100,F137*'Cost data'!$C$60),MAX(100/7,F137*'Cost data'!$C$60)),0)</f>
        <v>100</v>
      </c>
      <c r="P137" s="246">
        <f>IF(A137&lt;=$B$13,IF($B$16="Single project",'Cost data'!$C$55,(IF($B$16="Group of projects",'Cost data'!$D$55,0))),0)</f>
        <v>2250</v>
      </c>
      <c r="Q137" s="122">
        <f>IF(A137&lt;=B$13,IF(B$17="Yes",'Cost data'!E$62,IF(B$10&lt;=50,'Cost data'!D$62,'Cost data'!C$62)),0)</f>
        <v>850</v>
      </c>
      <c r="R137" s="127">
        <f>IF(A137&lt;=B$13,(IF(B$16="Single project",'Cost data'!C$56,IF(B$16="Group of projects",'Cost data'!D$56,0))),0)</f>
        <v>2702</v>
      </c>
      <c r="S137" s="137">
        <f t="shared" si="12"/>
        <v>5902</v>
      </c>
      <c r="T137" s="138">
        <f t="shared" ref="T137:T142" si="13">T136+S137</f>
        <v>39829</v>
      </c>
      <c r="V137" s="120">
        <f t="shared" si="9"/>
        <v>0</v>
      </c>
      <c r="W137" s="105">
        <f>IF(M137&lt;='Data entry'!$B$13,I137-S137,0)</f>
        <v>-5902</v>
      </c>
      <c r="X137" s="126">
        <f>IF(M137&lt;='Data entry'!$B$13,J137-T137,0)</f>
        <v>-39829</v>
      </c>
      <c r="Y137" s="106"/>
      <c r="AC137" s="165"/>
    </row>
    <row r="138" spans="1:29" s="2" customFormat="1" ht="15" customHeight="1" x14ac:dyDescent="0.3">
      <c r="A138" s="415"/>
      <c r="B138" s="425"/>
      <c r="C138" s="425"/>
      <c r="D138" s="416"/>
      <c r="E138" s="417"/>
      <c r="F138" s="417"/>
      <c r="G138" s="292"/>
      <c r="H138" s="227"/>
      <c r="I138" s="227"/>
      <c r="J138" s="135"/>
      <c r="K138" s="238"/>
      <c r="M138" s="136">
        <f t="shared" si="8"/>
        <v>0</v>
      </c>
      <c r="N138" s="121"/>
      <c r="O138" s="121">
        <f>IF(A138&lt;=$B$13,IF($B$16="Single project",MAX(100,F138*'Cost data'!$C$60),MAX(100/7,F138*'Cost data'!$C$60)),0)</f>
        <v>100</v>
      </c>
      <c r="P138" s="246">
        <f>IF(A138&lt;=$B$13,IF($B$16="Single project",'Cost data'!$C$55,(IF($B$16="Group of projects",'Cost data'!$D$55,0))),0)</f>
        <v>2250</v>
      </c>
      <c r="Q138" s="122">
        <f>IF(A138&lt;=B$13,IF(B$17="Yes",'Cost data'!E$62,IF(B$10&lt;=50,'Cost data'!D$62,'Cost data'!C$62)),0)</f>
        <v>850</v>
      </c>
      <c r="R138" s="127">
        <f>IF(A138&lt;=B$13,(IF(B$16="Single project",'Cost data'!C$56,IF(B$16="Group of projects",'Cost data'!D$56,0))),0)</f>
        <v>2702</v>
      </c>
      <c r="S138" s="137">
        <f t="shared" si="12"/>
        <v>5902</v>
      </c>
      <c r="T138" s="138">
        <f t="shared" si="13"/>
        <v>45731</v>
      </c>
      <c r="V138" s="120">
        <f t="shared" si="9"/>
        <v>0</v>
      </c>
      <c r="W138" s="105">
        <f>IF(M138&lt;='Data entry'!$B$13,I138-S138,0)</f>
        <v>-5902</v>
      </c>
      <c r="X138" s="126">
        <f>IF(M138&lt;='Data entry'!$B$13,J138-T138,0)</f>
        <v>-45731</v>
      </c>
      <c r="Y138" s="106"/>
      <c r="AC138" s="165"/>
    </row>
    <row r="139" spans="1:29" s="2" customFormat="1" ht="15" customHeight="1" x14ac:dyDescent="0.3">
      <c r="A139" s="415"/>
      <c r="B139" s="425"/>
      <c r="C139" s="425"/>
      <c r="D139" s="416"/>
      <c r="E139" s="417"/>
      <c r="F139" s="417"/>
      <c r="G139" s="292"/>
      <c r="H139" s="227"/>
      <c r="I139" s="227"/>
      <c r="J139" s="135"/>
      <c r="K139" s="238"/>
      <c r="M139" s="136">
        <f t="shared" si="8"/>
        <v>0</v>
      </c>
      <c r="N139" s="121"/>
      <c r="O139" s="121">
        <f>IF(A139&lt;=$B$13,IF($B$16="Single project",MAX(100,F139*'Cost data'!$C$60),MAX(100/7,F139*'Cost data'!$C$60)),0)</f>
        <v>100</v>
      </c>
      <c r="P139" s="246">
        <f>IF(A139&lt;=$B$13,IF($B$16="Single project",'Cost data'!$C$55,(IF($B$16="Group of projects",'Cost data'!$D$55,0))),0)</f>
        <v>2250</v>
      </c>
      <c r="Q139" s="122">
        <f>IF(A139&lt;=B$13,IF(B$17="Yes",'Cost data'!E$62,IF(B$10&lt;=50,'Cost data'!D$62,'Cost data'!C$62)),0)</f>
        <v>850</v>
      </c>
      <c r="R139" s="127">
        <f>IF(A139&lt;=B$13,(IF(B$16="Single project",'Cost data'!C$56,IF(B$16="Group of projects",'Cost data'!D$56,0))),0)</f>
        <v>2702</v>
      </c>
      <c r="S139" s="137">
        <f t="shared" si="12"/>
        <v>5902</v>
      </c>
      <c r="T139" s="138">
        <f t="shared" si="13"/>
        <v>51633</v>
      </c>
      <c r="V139" s="120">
        <f t="shared" si="9"/>
        <v>0</v>
      </c>
      <c r="W139" s="105">
        <f>IF(M139&lt;='Data entry'!$B$13,I139-S139,0)</f>
        <v>-5902</v>
      </c>
      <c r="X139" s="126">
        <f>IF(M139&lt;='Data entry'!$B$13,J139-T139,0)</f>
        <v>-51633</v>
      </c>
      <c r="Y139" s="106"/>
      <c r="AC139" s="165"/>
    </row>
    <row r="140" spans="1:29" s="2" customFormat="1" ht="15" customHeight="1" x14ac:dyDescent="0.3">
      <c r="A140" s="415"/>
      <c r="B140" s="425"/>
      <c r="C140" s="425"/>
      <c r="D140" s="416"/>
      <c r="E140" s="417"/>
      <c r="F140" s="417"/>
      <c r="G140" s="292"/>
      <c r="H140" s="227"/>
      <c r="I140" s="227"/>
      <c r="J140" s="135"/>
      <c r="K140" s="238"/>
      <c r="M140" s="136">
        <f t="shared" si="8"/>
        <v>0</v>
      </c>
      <c r="N140" s="121"/>
      <c r="O140" s="121">
        <f>IF(A140&lt;=$B$13,IF($B$16="Single project",MAX(100,F140*'Cost data'!$C$60),MAX(100/7,F140*'Cost data'!$C$60)),0)</f>
        <v>100</v>
      </c>
      <c r="P140" s="246">
        <f>IF(A140&lt;=$B$13,IF($B$16="Single project",'Cost data'!$C$55,(IF($B$16="Group of projects",'Cost data'!$D$55,0))),0)</f>
        <v>2250</v>
      </c>
      <c r="Q140" s="122">
        <f>IF(A140&lt;=B$13,IF(B$17="Yes",'Cost data'!E$62,IF(B$10&lt;=50,'Cost data'!D$62,'Cost data'!C$62)),0)</f>
        <v>850</v>
      </c>
      <c r="R140" s="127">
        <f>IF(A140&lt;=B$13,(IF(B$16="Single project",'Cost data'!C$56,IF(B$16="Group of projects",'Cost data'!D$56,0))),0)</f>
        <v>2702</v>
      </c>
      <c r="S140" s="137">
        <f t="shared" si="12"/>
        <v>5902</v>
      </c>
      <c r="T140" s="138">
        <f t="shared" si="13"/>
        <v>57535</v>
      </c>
      <c r="V140" s="120">
        <f t="shared" si="9"/>
        <v>0</v>
      </c>
      <c r="W140" s="105">
        <f>IF(M140&lt;='Data entry'!$B$13,I140-S140,0)</f>
        <v>-5902</v>
      </c>
      <c r="X140" s="126">
        <f>IF(M140&lt;='Data entry'!$B$13,J140-T140,0)</f>
        <v>-57535</v>
      </c>
      <c r="Y140" s="106"/>
      <c r="AC140" s="165"/>
    </row>
    <row r="141" spans="1:29" s="2" customFormat="1" ht="15" customHeight="1" x14ac:dyDescent="0.3">
      <c r="A141" s="426"/>
      <c r="B141" s="425"/>
      <c r="C141" s="425"/>
      <c r="D141" s="427"/>
      <c r="E141" s="417"/>
      <c r="F141" s="417"/>
      <c r="G141" s="292"/>
      <c r="H141" s="227"/>
      <c r="I141" s="227"/>
      <c r="J141" s="135"/>
      <c r="K141" s="238"/>
      <c r="M141" s="136">
        <f t="shared" si="8"/>
        <v>0</v>
      </c>
      <c r="N141" s="121"/>
      <c r="O141" s="121">
        <f>IF(A141&lt;=$B$13,IF($B$16="Single project",MAX(100,F141*'Cost data'!$C$60),MAX(100/7,F141*'Cost data'!$C$60)),0)</f>
        <v>100</v>
      </c>
      <c r="P141" s="246">
        <f>IF(A141&lt;=$B$13,IF($B$16="Single project",'Cost data'!$C$55,(IF($B$16="Group of projects",'Cost data'!$D$55,0))),0)</f>
        <v>2250</v>
      </c>
      <c r="Q141" s="122">
        <f>IF(A141&lt;=B$13,IF(B$17="Yes",'Cost data'!E$62,IF(B$10&lt;=50,'Cost data'!D$62,'Cost data'!C$62)),0)</f>
        <v>850</v>
      </c>
      <c r="R141" s="127">
        <f>IF(A141&lt;=B$13,(IF(B$16="Single project",'Cost data'!C$56,IF(B$16="Group of projects",'Cost data'!D$56,0))),0)</f>
        <v>2702</v>
      </c>
      <c r="S141" s="137">
        <f t="shared" si="12"/>
        <v>5902</v>
      </c>
      <c r="T141" s="138">
        <f t="shared" si="13"/>
        <v>63437</v>
      </c>
      <c r="V141" s="120">
        <f t="shared" si="9"/>
        <v>0</v>
      </c>
      <c r="W141" s="105">
        <f>IF(M141&lt;='Data entry'!$B$13,I141-S141,0)</f>
        <v>-5902</v>
      </c>
      <c r="X141" s="126">
        <f>IF(M141&lt;='Data entry'!$B$13,J141-T141,0)</f>
        <v>-63437</v>
      </c>
      <c r="Y141" s="106"/>
      <c r="AC141" s="165"/>
    </row>
    <row r="142" spans="1:29" s="2" customFormat="1" ht="15" customHeight="1" thickBot="1" x14ac:dyDescent="0.35">
      <c r="A142" s="428"/>
      <c r="B142" s="429"/>
      <c r="C142" s="429"/>
      <c r="D142" s="419"/>
      <c r="E142" s="430"/>
      <c r="F142" s="430"/>
      <c r="G142" s="292"/>
      <c r="H142" s="227"/>
      <c r="I142" s="227"/>
      <c r="J142" s="135"/>
      <c r="K142" s="240"/>
      <c r="M142" s="136">
        <f t="shared" si="8"/>
        <v>0</v>
      </c>
      <c r="N142" s="121"/>
      <c r="O142" s="121">
        <f>IF(A142&lt;=$B$13,IF($B$16="Single project",MAX(100,F142*'Cost data'!$C$60),MAX(100/7,F142*'Cost data'!$C$60)),0)</f>
        <v>100</v>
      </c>
      <c r="P142" s="246">
        <f>IF(A142&lt;=$B$13,IF($B$16="Single project",'Cost data'!$C$55,(IF($B$16="Group of projects",'Cost data'!$D$55,0))),0)</f>
        <v>2250</v>
      </c>
      <c r="Q142" s="122">
        <f>IF(A142&lt;=B$13,IF(B$17="Yes",'Cost data'!E$62,IF(B$10&lt;=50,'Cost data'!D$62,'Cost data'!C$62)),0)</f>
        <v>850</v>
      </c>
      <c r="R142" s="127">
        <f>IF(A142&lt;=B$13,(IF(B$16="Single project",'Cost data'!C$56,IF(B$16="Group of projects",'Cost data'!D$56,0))),0)</f>
        <v>2702</v>
      </c>
      <c r="S142" s="137">
        <f t="shared" si="12"/>
        <v>5902</v>
      </c>
      <c r="T142" s="138">
        <f t="shared" si="13"/>
        <v>69339</v>
      </c>
      <c r="V142" s="148">
        <f t="shared" si="9"/>
        <v>0</v>
      </c>
      <c r="W142" s="105">
        <f>IF(M142&lt;='Data entry'!$B$13,I142-S142,0)</f>
        <v>-5902</v>
      </c>
      <c r="X142" s="126">
        <f>IF(M142&lt;='Data entry'!$B$13,J142-T142,0)</f>
        <v>-69339</v>
      </c>
      <c r="Y142" s="106"/>
      <c r="AC142" s="165"/>
    </row>
    <row r="143" spans="1:29" s="2" customFormat="1" ht="15" customHeight="1" thickBot="1" x14ac:dyDescent="0.35">
      <c r="A143" s="886" t="s">
        <v>12</v>
      </c>
      <c r="B143" s="431"/>
      <c r="C143" s="431"/>
      <c r="D143" s="423"/>
      <c r="E143" s="423"/>
      <c r="F143" s="423"/>
      <c r="G143" s="292"/>
      <c r="H143" s="229"/>
      <c r="I143" s="232"/>
      <c r="J143" s="232"/>
      <c r="K143" s="239"/>
      <c r="M143" s="149" t="str">
        <f t="shared" si="8"/>
        <v>Subtotal - remainder not claimable under WCaG</v>
      </c>
      <c r="N143" s="150">
        <f t="shared" ref="N143:S143" si="14">SUM(N136:N142)</f>
        <v>0</v>
      </c>
      <c r="O143" s="150">
        <f t="shared" si="14"/>
        <v>700</v>
      </c>
      <c r="P143" s="150">
        <f t="shared" ref="P143" si="15">SUM(P136:P142)</f>
        <v>15750</v>
      </c>
      <c r="Q143" s="150">
        <f t="shared" si="14"/>
        <v>5950</v>
      </c>
      <c r="R143" s="151">
        <f t="shared" si="14"/>
        <v>18914</v>
      </c>
      <c r="S143" s="143">
        <f t="shared" si="14"/>
        <v>41314</v>
      </c>
      <c r="T143" s="144">
        <f>T142</f>
        <v>69339</v>
      </c>
      <c r="V143" s="140" t="s">
        <v>11</v>
      </c>
      <c r="W143" s="141">
        <f>SUM(W136:W142)</f>
        <v>-41314</v>
      </c>
      <c r="X143" s="152">
        <f>X142</f>
        <v>-69339</v>
      </c>
      <c r="Y143" s="224"/>
      <c r="AC143" s="165"/>
    </row>
    <row r="144" spans="1:29" s="2" customFormat="1" ht="15" customHeight="1" thickBot="1" x14ac:dyDescent="0.35">
      <c r="A144" s="432" t="s">
        <v>13</v>
      </c>
      <c r="B144" s="433"/>
      <c r="C144" s="434"/>
      <c r="D144" s="435"/>
      <c r="E144" s="435"/>
      <c r="F144" s="435"/>
      <c r="G144" s="292"/>
      <c r="H144" s="229"/>
      <c r="I144" s="232"/>
      <c r="J144" s="232"/>
      <c r="K144" s="236">
        <f>F144*'Income data'!K4</f>
        <v>0</v>
      </c>
      <c r="M144" s="153" t="s">
        <v>7</v>
      </c>
      <c r="N144" s="154">
        <f t="shared" ref="N144:S144" si="16">N135+N143</f>
        <v>0</v>
      </c>
      <c r="O144" s="154">
        <f t="shared" si="16"/>
        <v>1100</v>
      </c>
      <c r="P144" s="154">
        <f t="shared" si="16"/>
        <v>27050</v>
      </c>
      <c r="Q144" s="154">
        <f t="shared" si="16"/>
        <v>9350</v>
      </c>
      <c r="R144" s="155">
        <f t="shared" si="16"/>
        <v>31839</v>
      </c>
      <c r="S144" s="156">
        <f t="shared" si="16"/>
        <v>69339</v>
      </c>
      <c r="T144" s="157">
        <f>T143</f>
        <v>69339</v>
      </c>
      <c r="V144" s="158" t="s">
        <v>7</v>
      </c>
      <c r="W144" s="159">
        <f>W135+W143</f>
        <v>-69339</v>
      </c>
      <c r="X144" s="160">
        <f>X142</f>
        <v>-69339</v>
      </c>
      <c r="Y144" s="224"/>
      <c r="AC144" s="165"/>
    </row>
    <row r="145" spans="1:29" s="2" customFormat="1" ht="14.5" thickBot="1" x14ac:dyDescent="0.35">
      <c r="A145" s="310"/>
      <c r="B145" s="292"/>
      <c r="C145" s="436" t="s">
        <v>556</v>
      </c>
      <c r="D145" s="409"/>
      <c r="E145" s="409"/>
      <c r="F145" s="409"/>
      <c r="G145" s="292"/>
      <c r="K145" s="135"/>
      <c r="AC145" s="165"/>
    </row>
    <row r="146" spans="1:29" s="2" customFormat="1" ht="28" thickTop="1" thickBot="1" x14ac:dyDescent="0.35">
      <c r="A146" s="802" t="s">
        <v>311</v>
      </c>
      <c r="B146" s="803"/>
      <c r="C146" s="803"/>
      <c r="D146" s="803"/>
      <c r="E146" s="803"/>
      <c r="F146" s="803"/>
      <c r="G146" s="292"/>
      <c r="M146" s="10" t="s">
        <v>17</v>
      </c>
      <c r="N146" s="11" t="s">
        <v>14</v>
      </c>
      <c r="O146" s="11" t="s">
        <v>15</v>
      </c>
      <c r="P146" s="11" t="s">
        <v>359</v>
      </c>
      <c r="Q146" s="11" t="s">
        <v>9</v>
      </c>
      <c r="R146" s="12" t="s">
        <v>16</v>
      </c>
      <c r="S146" s="13" t="s">
        <v>23</v>
      </c>
      <c r="T146" s="14" t="s">
        <v>24</v>
      </c>
      <c r="V146" s="7" t="s">
        <v>17</v>
      </c>
      <c r="W146" s="8" t="s">
        <v>21</v>
      </c>
      <c r="X146" s="9" t="s">
        <v>22</v>
      </c>
      <c r="Y146" s="210"/>
      <c r="AC146" s="165"/>
    </row>
    <row r="147" spans="1:29" s="2" customFormat="1" ht="54.5" thickBot="1" x14ac:dyDescent="0.35">
      <c r="A147" s="410" t="s">
        <v>10</v>
      </c>
      <c r="B147" s="411" t="s">
        <v>554</v>
      </c>
      <c r="C147" s="411" t="s">
        <v>555</v>
      </c>
      <c r="D147" s="437" t="s">
        <v>549</v>
      </c>
      <c r="E147" s="411" t="s">
        <v>538</v>
      </c>
      <c r="F147" s="411" t="s">
        <v>550</v>
      </c>
      <c r="G147" s="292"/>
      <c r="H147" s="210"/>
      <c r="I147" s="210"/>
      <c r="J147" s="210"/>
      <c r="K147" s="235" t="s">
        <v>227</v>
      </c>
      <c r="M147" s="136">
        <v>0</v>
      </c>
      <c r="N147" s="121">
        <f>F164*('Cost data'!C58+'Cost data'!C59)</f>
        <v>0</v>
      </c>
      <c r="O147" s="121"/>
      <c r="P147" s="246">
        <f>IF(B$16="Single project",SUM('Cost data'!C$50:C$51),(IF(B$16="Group of projects",SUM('Cost data'!D$50:D$51),0)))</f>
        <v>2300</v>
      </c>
      <c r="Q147" s="122">
        <v>0</v>
      </c>
      <c r="R147" s="123">
        <f>IF(B$16="Single project",'Cost data'!C$52,IF(B$16="Group of projects",'Cost data'!D$52,0))</f>
        <v>2117</v>
      </c>
      <c r="S147" s="137">
        <f t="shared" ref="S147:S154" si="17">SUM(N147:R147)</f>
        <v>4417</v>
      </c>
      <c r="T147" s="138">
        <f>S147</f>
        <v>4417</v>
      </c>
      <c r="V147" s="120">
        <f t="shared" ref="V147:V162" si="18">M147</f>
        <v>0</v>
      </c>
      <c r="W147" s="105">
        <f>-S147</f>
        <v>-4417</v>
      </c>
      <c r="X147" s="126">
        <f>-S147</f>
        <v>-4417</v>
      </c>
      <c r="Y147" s="106"/>
      <c r="AC147" s="165"/>
    </row>
    <row r="148" spans="1:29" s="2" customFormat="1" ht="15" customHeight="1" x14ac:dyDescent="0.3">
      <c r="A148" s="412"/>
      <c r="B148" s="424"/>
      <c r="C148" s="424"/>
      <c r="D148" s="438"/>
      <c r="E148" s="414"/>
      <c r="F148" s="414"/>
      <c r="G148" s="292"/>
      <c r="H148" s="227"/>
      <c r="I148" s="135"/>
      <c r="J148" s="135"/>
      <c r="K148" s="237"/>
      <c r="M148" s="136">
        <f t="shared" ref="M148:M163" si="19">A148</f>
        <v>0</v>
      </c>
      <c r="N148" s="121"/>
      <c r="O148" s="121">
        <f>IF($B$16="Single project",MAX(100,F148*'Cost data'!$C$60),MAX(100/7,F148*'Cost data'!$C$60))</f>
        <v>100</v>
      </c>
      <c r="P148" s="246">
        <f>IF(B$16="Single project",'Cost data'!C$53,(IF(B$16="Group of projects",'Cost data'!D$53,0)))</f>
        <v>2250</v>
      </c>
      <c r="Q148" s="122">
        <f>IF(B$17="Yes",'Cost data'!E$62,IF(B$10&lt;=50,'Cost data'!D$62,'Cost data'!C$62))</f>
        <v>850</v>
      </c>
      <c r="R148" s="127">
        <f>IF(B$16="Single project",'Cost data'!C$54,IF(B$16="Group of projects",'Cost data'!D$54,0))</f>
        <v>2702</v>
      </c>
      <c r="S148" s="137">
        <f t="shared" si="17"/>
        <v>5902</v>
      </c>
      <c r="T148" s="138">
        <f t="shared" ref="T148:T154" si="20">T147+S148</f>
        <v>10319</v>
      </c>
      <c r="V148" s="120">
        <f t="shared" si="18"/>
        <v>0</v>
      </c>
      <c r="W148" s="105">
        <f t="shared" ref="W148:X154" si="21">I148-S148</f>
        <v>-5902</v>
      </c>
      <c r="X148" s="126">
        <f t="shared" si="21"/>
        <v>-10319</v>
      </c>
      <c r="Y148" s="106"/>
      <c r="AC148" s="165"/>
    </row>
    <row r="149" spans="1:29" s="2" customFormat="1" ht="15" customHeight="1" x14ac:dyDescent="0.3">
      <c r="A149" s="415"/>
      <c r="B149" s="425"/>
      <c r="C149" s="425"/>
      <c r="D149" s="439"/>
      <c r="E149" s="417"/>
      <c r="F149" s="417"/>
      <c r="G149" s="292"/>
      <c r="H149" s="227"/>
      <c r="I149" s="135"/>
      <c r="J149" s="135"/>
      <c r="K149" s="238"/>
      <c r="M149" s="136">
        <f t="shared" si="19"/>
        <v>0</v>
      </c>
      <c r="N149" s="121"/>
      <c r="O149" s="121">
        <f>IF(A149&lt;=$B$13,IF($B$16="Single project",MAX(100,F149*'Cost data'!$C$60),MAX(100/7,F149*'Cost data'!$C$60)),0)</f>
        <v>100</v>
      </c>
      <c r="P149" s="246">
        <f>IF(A149&lt;=$B$13,IF($B$16="Single project",'Cost data'!$C$55,(IF($B$16="Group of projects",'Cost data'!$D$55,0))),0)</f>
        <v>2250</v>
      </c>
      <c r="Q149" s="122">
        <f>IF(A149&lt;=B$13,IF(B$17="Yes",'Cost data'!E$62,IF(B$10&lt;=50,'Cost data'!D$62,'Cost data'!C$62)),0)</f>
        <v>850</v>
      </c>
      <c r="R149" s="127">
        <f>IF(A149&lt;=B$13,(IF(B$16="Single project",'Cost data'!C$56,IF(B$16="Group of projects",'Cost data'!D$56,0))),0)</f>
        <v>2702</v>
      </c>
      <c r="S149" s="137">
        <f t="shared" si="17"/>
        <v>5902</v>
      </c>
      <c r="T149" s="138">
        <f t="shared" si="20"/>
        <v>16221</v>
      </c>
      <c r="V149" s="120">
        <f t="shared" si="18"/>
        <v>0</v>
      </c>
      <c r="W149" s="105">
        <f t="shared" si="21"/>
        <v>-5902</v>
      </c>
      <c r="X149" s="126">
        <f t="shared" si="21"/>
        <v>-16221</v>
      </c>
      <c r="Y149" s="106"/>
      <c r="AC149" s="165"/>
    </row>
    <row r="150" spans="1:29" s="2" customFormat="1" ht="15" customHeight="1" x14ac:dyDescent="0.3">
      <c r="A150" s="415"/>
      <c r="B150" s="425"/>
      <c r="C150" s="425"/>
      <c r="D150" s="439"/>
      <c r="E150" s="417"/>
      <c r="F150" s="417"/>
      <c r="G150" s="292"/>
      <c r="H150" s="227"/>
      <c r="I150" s="135"/>
      <c r="J150" s="135"/>
      <c r="K150" s="238"/>
      <c r="M150" s="136">
        <f t="shared" si="19"/>
        <v>0</v>
      </c>
      <c r="N150" s="121"/>
      <c r="O150" s="121">
        <f>IF(A150&lt;=$B$13,IF($B$16="Single project",MAX(100,F150*'Cost data'!$C$60),MAX(100/7,F150*'Cost data'!$C$60)),0)</f>
        <v>100</v>
      </c>
      <c r="P150" s="246">
        <f>IF(A150&lt;=$B$13,IF($B$16="Single project",'Cost data'!$C$55,(IF($B$16="Group of projects",'Cost data'!$D$55,0))),0)</f>
        <v>2250</v>
      </c>
      <c r="Q150" s="122">
        <f>IF(A150&lt;=B$13,IF(B$17="Yes",'Cost data'!E$62,IF(B$10&lt;=50,'Cost data'!D$62,'Cost data'!C$62)),0)</f>
        <v>850</v>
      </c>
      <c r="R150" s="127">
        <f>IF(A150&lt;=B$13,(IF(B$16="Single project",'Cost data'!C$56,IF(B$16="Group of projects",'Cost data'!D$56,0))),0)</f>
        <v>2702</v>
      </c>
      <c r="S150" s="137">
        <f t="shared" si="17"/>
        <v>5902</v>
      </c>
      <c r="T150" s="138">
        <f t="shared" si="20"/>
        <v>22123</v>
      </c>
      <c r="V150" s="120">
        <f t="shared" si="18"/>
        <v>0</v>
      </c>
      <c r="W150" s="105">
        <f t="shared" si="21"/>
        <v>-5902</v>
      </c>
      <c r="X150" s="126">
        <f t="shared" si="21"/>
        <v>-22123</v>
      </c>
      <c r="Y150" s="106"/>
      <c r="AC150" s="165"/>
    </row>
    <row r="151" spans="1:29" s="2" customFormat="1" ht="15" customHeight="1" x14ac:dyDescent="0.3">
      <c r="A151" s="415"/>
      <c r="B151" s="425"/>
      <c r="C151" s="425"/>
      <c r="D151" s="439"/>
      <c r="E151" s="417"/>
      <c r="F151" s="417"/>
      <c r="G151" s="292"/>
      <c r="H151" s="227"/>
      <c r="I151" s="135"/>
      <c r="J151" s="135"/>
      <c r="K151" s="238"/>
      <c r="M151" s="136">
        <f t="shared" si="19"/>
        <v>0</v>
      </c>
      <c r="N151" s="121"/>
      <c r="O151" s="121">
        <f>IF(A151&lt;=$B$13,IF($B$16="Single project",MAX(100,F151*'Cost data'!$C$60),MAX(100/7,F151*'Cost data'!$C$60)),0)</f>
        <v>100</v>
      </c>
      <c r="P151" s="246">
        <f>IF(A151&lt;=$B$13,IF($B$16="Single project",'Cost data'!$C$55,(IF($B$16="Group of projects",'Cost data'!$D$55,0))),0)</f>
        <v>2250</v>
      </c>
      <c r="Q151" s="122">
        <f>IF(A151&lt;=B$13,IF(B$17="Yes",'Cost data'!E$62,IF(B$10&lt;=50,'Cost data'!D$62,'Cost data'!C$62)),0)</f>
        <v>850</v>
      </c>
      <c r="R151" s="127">
        <f>IF(A151&lt;=B$13,(IF(B$16="Single project",'Cost data'!C$56,IF(B$16="Group of projects",'Cost data'!D$56,0))),0)</f>
        <v>2702</v>
      </c>
      <c r="S151" s="137">
        <f t="shared" si="17"/>
        <v>5902</v>
      </c>
      <c r="T151" s="138">
        <f t="shared" si="20"/>
        <v>28025</v>
      </c>
      <c r="V151" s="120">
        <f t="shared" si="18"/>
        <v>0</v>
      </c>
      <c r="W151" s="105">
        <f t="shared" si="21"/>
        <v>-5902</v>
      </c>
      <c r="X151" s="126">
        <f t="shared" si="21"/>
        <v>-28025</v>
      </c>
      <c r="Y151" s="106"/>
      <c r="AC151" s="165"/>
    </row>
    <row r="152" spans="1:29" s="2" customFormat="1" ht="15" customHeight="1" x14ac:dyDescent="0.3">
      <c r="A152" s="415"/>
      <c r="B152" s="425"/>
      <c r="C152" s="425"/>
      <c r="D152" s="439"/>
      <c r="E152" s="417"/>
      <c r="F152" s="417"/>
      <c r="G152" s="292"/>
      <c r="H152" s="227"/>
      <c r="I152" s="135"/>
      <c r="J152" s="135"/>
      <c r="K152" s="238"/>
      <c r="M152" s="136">
        <f t="shared" si="19"/>
        <v>0</v>
      </c>
      <c r="N152" s="121"/>
      <c r="O152" s="121">
        <f>IF(A152&lt;=$B$13,IF($B$16="Single project",MAX(100,F152*'Cost data'!$C$60),MAX(100/7,F152*'Cost data'!$C$60)),0)</f>
        <v>100</v>
      </c>
      <c r="P152" s="246">
        <f>IF(A152&lt;=$B$13,IF($B$16="Single project",'Cost data'!$C$55,(IF($B$16="Group of projects",'Cost data'!$D$55,0))),0)</f>
        <v>2250</v>
      </c>
      <c r="Q152" s="122">
        <f>IF(A152&lt;=B$13,IF(B$17="Yes",'Cost data'!E$62,IF(B$10&lt;=50,'Cost data'!D$62,'Cost data'!C$62)),0)</f>
        <v>850</v>
      </c>
      <c r="R152" s="127">
        <f>IF(A152&lt;=B$13,(IF(B$16="Single project",'Cost data'!C$56,IF(B$16="Group of projects",'Cost data'!D$56,0))),0)</f>
        <v>2702</v>
      </c>
      <c r="S152" s="137">
        <f t="shared" si="17"/>
        <v>5902</v>
      </c>
      <c r="T152" s="138">
        <f t="shared" si="20"/>
        <v>33927</v>
      </c>
      <c r="V152" s="120">
        <f t="shared" si="18"/>
        <v>0</v>
      </c>
      <c r="W152" s="105">
        <f t="shared" si="21"/>
        <v>-5902</v>
      </c>
      <c r="X152" s="126">
        <f t="shared" si="21"/>
        <v>-33927</v>
      </c>
      <c r="Y152" s="106"/>
      <c r="AC152" s="165"/>
    </row>
    <row r="153" spans="1:29" s="2" customFormat="1" ht="15" customHeight="1" x14ac:dyDescent="0.3">
      <c r="A153" s="415"/>
      <c r="B153" s="425"/>
      <c r="C153" s="425"/>
      <c r="D153" s="439"/>
      <c r="E153" s="417"/>
      <c r="F153" s="417"/>
      <c r="G153" s="292"/>
      <c r="H153" s="227"/>
      <c r="I153" s="135"/>
      <c r="J153" s="135"/>
      <c r="K153" s="238"/>
      <c r="M153" s="136">
        <f t="shared" si="19"/>
        <v>0</v>
      </c>
      <c r="N153" s="121"/>
      <c r="O153" s="121">
        <f>IF(A153&lt;=$B$13,IF($B$16="Single project",MAX(100,F153*'Cost data'!$C$60),MAX(100/7,F153*'Cost data'!$C$60)),0)</f>
        <v>100</v>
      </c>
      <c r="P153" s="246">
        <f>IF(A153&lt;=$B$13,IF($B$16="Single project",'Cost data'!$C$55,(IF($B$16="Group of projects",'Cost data'!$D$55,0))),0)</f>
        <v>2250</v>
      </c>
      <c r="Q153" s="122">
        <f>IF(A153&lt;=B$13,IF(B$17="Yes",'Cost data'!E$62,IF(B$10&lt;=50,'Cost data'!D$62,'Cost data'!C$62)),0)</f>
        <v>850</v>
      </c>
      <c r="R153" s="127">
        <f>IF(A153&lt;=B$13,(IF(B$16="Single project",'Cost data'!C$56,IF(B$16="Group of projects",'Cost data'!D$56,0))),0)</f>
        <v>2702</v>
      </c>
      <c r="S153" s="137">
        <f t="shared" si="17"/>
        <v>5902</v>
      </c>
      <c r="T153" s="138">
        <f t="shared" si="20"/>
        <v>39829</v>
      </c>
      <c r="V153" s="120">
        <f t="shared" si="18"/>
        <v>0</v>
      </c>
      <c r="W153" s="105">
        <f t="shared" si="21"/>
        <v>-5902</v>
      </c>
      <c r="X153" s="126">
        <f t="shared" si="21"/>
        <v>-39829</v>
      </c>
      <c r="Y153" s="106"/>
      <c r="AC153" s="165"/>
    </row>
    <row r="154" spans="1:29" s="2" customFormat="1" ht="15" customHeight="1" thickBot="1" x14ac:dyDescent="0.35">
      <c r="A154" s="418"/>
      <c r="B154" s="429"/>
      <c r="C154" s="440"/>
      <c r="D154" s="441"/>
      <c r="E154" s="430"/>
      <c r="F154" s="430"/>
      <c r="G154" s="292"/>
      <c r="H154" s="227"/>
      <c r="I154" s="135"/>
      <c r="J154" s="135"/>
      <c r="K154" s="240"/>
      <c r="M154" s="136">
        <f t="shared" si="19"/>
        <v>0</v>
      </c>
      <c r="N154" s="121"/>
      <c r="O154" s="121">
        <f>IF(A154&lt;=$B$13,IF($B$16="Single project",MAX(100,F154*'Cost data'!$C$60),MAX(100/7,F154*'Cost data'!$C$60)),0)</f>
        <v>100</v>
      </c>
      <c r="P154" s="246">
        <f>IF(A154&lt;=$B$13,IF($B$16="Single project",'Cost data'!$C$55,(IF($B$16="Group of projects",'Cost data'!$D$55,0))),0)</f>
        <v>2250</v>
      </c>
      <c r="Q154" s="122">
        <f>IF(A154&lt;=B$13,IF(B$17="Yes",'Cost data'!E$62,IF(B$10&lt;=50,'Cost data'!D$62,'Cost data'!C$62)),0)</f>
        <v>850</v>
      </c>
      <c r="R154" s="127">
        <f>IF(A154&lt;=B$13,(IF(B$16="Single project",'Cost data'!C$56,IF(B$16="Group of projects",'Cost data'!D$56,0))),0)</f>
        <v>2702</v>
      </c>
      <c r="S154" s="137">
        <f t="shared" si="17"/>
        <v>5902</v>
      </c>
      <c r="T154" s="138">
        <f t="shared" si="20"/>
        <v>45731</v>
      </c>
      <c r="V154" s="120">
        <f t="shared" si="18"/>
        <v>0</v>
      </c>
      <c r="W154" s="105">
        <f t="shared" si="21"/>
        <v>-5902</v>
      </c>
      <c r="X154" s="126">
        <f t="shared" si="21"/>
        <v>-45731</v>
      </c>
      <c r="Y154" s="106"/>
      <c r="AC154" s="165"/>
    </row>
    <row r="155" spans="1:29" s="2" customFormat="1" ht="15" customHeight="1" thickBot="1" x14ac:dyDescent="0.35">
      <c r="A155" s="887" t="s">
        <v>11</v>
      </c>
      <c r="B155" s="442"/>
      <c r="C155" s="442"/>
      <c r="D155" s="443"/>
      <c r="E155" s="423"/>
      <c r="F155" s="423"/>
      <c r="G155" s="292"/>
      <c r="H155" s="230"/>
      <c r="I155" s="232"/>
      <c r="J155" s="232"/>
      <c r="K155" s="239"/>
      <c r="M155" s="140" t="str">
        <f t="shared" si="19"/>
        <v>Subtotal - claimable under WCaG to f/y 2055/56</v>
      </c>
      <c r="N155" s="141">
        <f t="shared" ref="N155:S155" si="22">SUM(N147:N154)</f>
        <v>0</v>
      </c>
      <c r="O155" s="141">
        <f t="shared" si="22"/>
        <v>700</v>
      </c>
      <c r="P155" s="141">
        <f t="shared" ref="P155" si="23">SUM(P147:P154)</f>
        <v>18050</v>
      </c>
      <c r="Q155" s="141">
        <f t="shared" si="22"/>
        <v>5950</v>
      </c>
      <c r="R155" s="142">
        <f t="shared" si="22"/>
        <v>21031</v>
      </c>
      <c r="S155" s="142">
        <f t="shared" si="22"/>
        <v>45731</v>
      </c>
      <c r="T155" s="144">
        <f>T154</f>
        <v>45731</v>
      </c>
      <c r="V155" s="145" t="str">
        <f t="shared" si="18"/>
        <v>Subtotal - claimable under WCaG to f/y 2055/56</v>
      </c>
      <c r="W155" s="146">
        <f>SUM(W147:W154)</f>
        <v>-45731</v>
      </c>
      <c r="X155" s="147">
        <f>X154</f>
        <v>-45731</v>
      </c>
      <c r="Y155" s="224"/>
      <c r="AC155" s="165"/>
    </row>
    <row r="156" spans="1:29" s="2" customFormat="1" ht="15" customHeight="1" x14ac:dyDescent="0.3">
      <c r="A156" s="444"/>
      <c r="B156" s="445"/>
      <c r="C156" s="445"/>
      <c r="D156" s="446"/>
      <c r="E156" s="417"/>
      <c r="F156" s="417"/>
      <c r="G156" s="292"/>
      <c r="H156" s="227"/>
      <c r="I156" s="227"/>
      <c r="J156" s="135"/>
      <c r="K156" s="237"/>
      <c r="M156" s="136">
        <f t="shared" si="19"/>
        <v>0</v>
      </c>
      <c r="N156" s="121"/>
      <c r="O156" s="121">
        <f>IF(A156&lt;=$B$13,IF($B$16="Single project",MAX(100,F156*'Cost data'!$C$60),MAX(100/7,F156*'Cost data'!$C$60)),0)</f>
        <v>100</v>
      </c>
      <c r="P156" s="246">
        <f>IF(A156&lt;=$B$13,IF($B$16="Single project",'Cost data'!$C$55,(IF($B$16="Group of projects",'Cost data'!$D$55,0))),0)</f>
        <v>2250</v>
      </c>
      <c r="Q156" s="122">
        <f>IF(A156&lt;=B$13,IF(B$17="Yes",'Cost data'!E$62,IF(B$10&lt;=50,'Cost data'!D$62,'Cost data'!C$62)),0)</f>
        <v>850</v>
      </c>
      <c r="R156" s="127">
        <f>IF(A156&lt;=B$13,(IF(B$16="Single project",'Cost data'!C$56,IF(B$16="Group of projects",'Cost data'!D$56,0))),0)</f>
        <v>2702</v>
      </c>
      <c r="S156" s="137">
        <f t="shared" ref="S156:S162" si="24">SUM(N156:R156)</f>
        <v>5902</v>
      </c>
      <c r="T156" s="138">
        <f>T154+S156</f>
        <v>51633</v>
      </c>
      <c r="V156" s="120">
        <f t="shared" si="18"/>
        <v>0</v>
      </c>
      <c r="W156" s="105">
        <f>IF(M156&lt;='Data entry'!$B$13,I156-S156,0)</f>
        <v>-5902</v>
      </c>
      <c r="X156" s="126">
        <f>IF(M156&lt;='Data entry'!$B$13,J156-T156,0)</f>
        <v>-51633</v>
      </c>
      <c r="Y156" s="106"/>
      <c r="AC156" s="165"/>
    </row>
    <row r="157" spans="1:29" s="2" customFormat="1" ht="15" customHeight="1" x14ac:dyDescent="0.3">
      <c r="A157" s="444"/>
      <c r="B157" s="445"/>
      <c r="C157" s="445"/>
      <c r="D157" s="446"/>
      <c r="E157" s="417"/>
      <c r="F157" s="417"/>
      <c r="G157" s="292"/>
      <c r="H157" s="227"/>
      <c r="I157" s="227"/>
      <c r="J157" s="135"/>
      <c r="K157" s="238"/>
      <c r="M157" s="136">
        <f t="shared" si="19"/>
        <v>0</v>
      </c>
      <c r="N157" s="121"/>
      <c r="O157" s="121">
        <f>IF(A157&lt;=$B$13,IF($B$16="Single project",MAX(100,F157*'Cost data'!$C$60),MAX(100/7,F157*'Cost data'!$C$60)),0)</f>
        <v>100</v>
      </c>
      <c r="P157" s="246">
        <f>IF(A157&lt;=$B$13,IF($B$16="Single project",'Cost data'!$C$55,(IF($B$16="Group of projects",'Cost data'!$D$55,0))),0)</f>
        <v>2250</v>
      </c>
      <c r="Q157" s="122">
        <f>IF(A157&lt;=B$13,IF(B$17="Yes",'Cost data'!E$62,IF(B$10&lt;=50,'Cost data'!D$62,'Cost data'!C$62)),0)</f>
        <v>850</v>
      </c>
      <c r="R157" s="127">
        <f>IF(A157&lt;=B$13,(IF(B$16="Single project",'Cost data'!C$56,IF(B$16="Group of projects",'Cost data'!D$56,0))),0)</f>
        <v>2702</v>
      </c>
      <c r="S157" s="137">
        <f t="shared" si="24"/>
        <v>5902</v>
      </c>
      <c r="T157" s="138">
        <f t="shared" ref="T157:T162" si="25">T156+S157</f>
        <v>57535</v>
      </c>
      <c r="V157" s="120">
        <f t="shared" si="18"/>
        <v>0</v>
      </c>
      <c r="W157" s="105">
        <f>IF(M157&lt;='Data entry'!$B$13,I157-S157,0)</f>
        <v>-5902</v>
      </c>
      <c r="X157" s="126">
        <f>IF(M157&lt;='Data entry'!$B$13,J157-T157,0)</f>
        <v>-57535</v>
      </c>
      <c r="Y157" s="106"/>
      <c r="AC157" s="165"/>
    </row>
    <row r="158" spans="1:29" s="2" customFormat="1" ht="15" customHeight="1" x14ac:dyDescent="0.3">
      <c r="A158" s="444"/>
      <c r="B158" s="445"/>
      <c r="C158" s="445"/>
      <c r="D158" s="446"/>
      <c r="E158" s="417"/>
      <c r="F158" s="417"/>
      <c r="G158" s="292"/>
      <c r="H158" s="227"/>
      <c r="I158" s="227"/>
      <c r="J158" s="135"/>
      <c r="K158" s="238"/>
      <c r="M158" s="136">
        <f t="shared" si="19"/>
        <v>0</v>
      </c>
      <c r="N158" s="121"/>
      <c r="O158" s="121">
        <f>IF(A158&lt;=$B$13,IF($B$16="Single project",MAX(100,F158*'Cost data'!$C$60),MAX(100/7,F158*'Cost data'!$C$60)),0)</f>
        <v>100</v>
      </c>
      <c r="P158" s="246">
        <f>IF(A158&lt;=$B$13,IF($B$16="Single project",'Cost data'!$C$55,(IF($B$16="Group of projects",'Cost data'!$D$55,0))),0)</f>
        <v>2250</v>
      </c>
      <c r="Q158" s="122">
        <f>IF(A158&lt;=B$13,IF(B$17="Yes",'Cost data'!E$62,IF(B$10&lt;=50,'Cost data'!D$62,'Cost data'!C$62)),0)</f>
        <v>850</v>
      </c>
      <c r="R158" s="127">
        <f>IF(A158&lt;=B$13,(IF(B$16="Single project",'Cost data'!C$56,IF(B$16="Group of projects",'Cost data'!D$56,0))),0)</f>
        <v>2702</v>
      </c>
      <c r="S158" s="137">
        <f t="shared" si="24"/>
        <v>5902</v>
      </c>
      <c r="T158" s="138">
        <f t="shared" si="25"/>
        <v>63437</v>
      </c>
      <c r="V158" s="120">
        <f t="shared" si="18"/>
        <v>0</v>
      </c>
      <c r="W158" s="105">
        <f>IF(M158&lt;='Data entry'!$B$13,I158-S158,0)</f>
        <v>-5902</v>
      </c>
      <c r="X158" s="126">
        <f>IF(M158&lt;='Data entry'!$B$13,J158-T158,0)</f>
        <v>-63437</v>
      </c>
      <c r="Y158" s="106"/>
      <c r="AC158" s="165"/>
    </row>
    <row r="159" spans="1:29" s="2" customFormat="1" ht="15" customHeight="1" x14ac:dyDescent="0.3">
      <c r="A159" s="444"/>
      <c r="B159" s="445"/>
      <c r="C159" s="445"/>
      <c r="D159" s="446"/>
      <c r="E159" s="417"/>
      <c r="F159" s="417"/>
      <c r="G159" s="292"/>
      <c r="H159" s="227"/>
      <c r="I159" s="227"/>
      <c r="J159" s="135"/>
      <c r="K159" s="238"/>
      <c r="M159" s="136">
        <f t="shared" si="19"/>
        <v>0</v>
      </c>
      <c r="N159" s="121"/>
      <c r="O159" s="121">
        <f>IF(A159&lt;=$B$13,IF($B$16="Single project",MAX(100,F159*'Cost data'!$C$60),MAX(100/7,F159*'Cost data'!$C$60)),0)</f>
        <v>100</v>
      </c>
      <c r="P159" s="246">
        <f>IF(A159&lt;=$B$13,IF($B$16="Single project",'Cost data'!$C$55,(IF($B$16="Group of projects",'Cost data'!$D$55,0))),0)</f>
        <v>2250</v>
      </c>
      <c r="Q159" s="122">
        <f>IF(A159&lt;=B$13,IF(B$17="Yes",'Cost data'!E$62,IF(B$10&lt;=50,'Cost data'!D$62,'Cost data'!C$62)),0)</f>
        <v>850</v>
      </c>
      <c r="R159" s="127">
        <f>IF(A159&lt;=B$13,(IF(B$16="Single project",'Cost data'!C$56,IF(B$16="Group of projects",'Cost data'!D$56,0))),0)</f>
        <v>2702</v>
      </c>
      <c r="S159" s="137">
        <f t="shared" si="24"/>
        <v>5902</v>
      </c>
      <c r="T159" s="138">
        <f t="shared" si="25"/>
        <v>69339</v>
      </c>
      <c r="V159" s="120">
        <f t="shared" si="18"/>
        <v>0</v>
      </c>
      <c r="W159" s="105">
        <f>IF(M159&lt;='Data entry'!$B$13,I159-S159,0)</f>
        <v>-5902</v>
      </c>
      <c r="X159" s="126">
        <f>IF(M159&lt;='Data entry'!$B$13,J159-T159,0)</f>
        <v>-69339</v>
      </c>
      <c r="Y159" s="106"/>
      <c r="AC159" s="165"/>
    </row>
    <row r="160" spans="1:29" s="2" customFormat="1" ht="15" customHeight="1" x14ac:dyDescent="0.3">
      <c r="A160" s="444"/>
      <c r="B160" s="445"/>
      <c r="C160" s="445"/>
      <c r="D160" s="446"/>
      <c r="E160" s="417"/>
      <c r="F160" s="417"/>
      <c r="G160" s="292"/>
      <c r="H160" s="227"/>
      <c r="I160" s="227"/>
      <c r="J160" s="135"/>
      <c r="K160" s="238"/>
      <c r="M160" s="136">
        <f t="shared" si="19"/>
        <v>0</v>
      </c>
      <c r="N160" s="121"/>
      <c r="O160" s="121">
        <f>IF(A160&lt;=$B$13,IF($B$16="Single project",MAX(100,F160*'Cost data'!$C$60),MAX(100/7,F160*'Cost data'!$C$60)),0)</f>
        <v>100</v>
      </c>
      <c r="P160" s="246">
        <f>IF(A160&lt;=$B$13,IF($B$16="Single project",'Cost data'!$C$55,(IF($B$16="Group of projects",'Cost data'!$D$55,0))),0)</f>
        <v>2250</v>
      </c>
      <c r="Q160" s="122">
        <f>IF(A160&lt;=B$13,IF(B$17="Yes",'Cost data'!E$62,IF(B$10&lt;=50,'Cost data'!D$62,'Cost data'!C$62)),0)</f>
        <v>850</v>
      </c>
      <c r="R160" s="127">
        <f>IF(A160&lt;=B$13,(IF(B$16="Single project",'Cost data'!C$56,IF(B$16="Group of projects",'Cost data'!D$56,0))),0)</f>
        <v>2702</v>
      </c>
      <c r="S160" s="137">
        <f t="shared" si="24"/>
        <v>5902</v>
      </c>
      <c r="T160" s="138">
        <f t="shared" si="25"/>
        <v>75241</v>
      </c>
      <c r="V160" s="120">
        <f t="shared" si="18"/>
        <v>0</v>
      </c>
      <c r="W160" s="105">
        <f>IF(M160&lt;='Data entry'!$B$13,I160-S160,0)</f>
        <v>-5902</v>
      </c>
      <c r="X160" s="126">
        <f>IF(M160&lt;='Data entry'!$B$13,J160-T160,0)</f>
        <v>-75241</v>
      </c>
      <c r="Y160" s="106"/>
      <c r="AC160" s="165"/>
    </row>
    <row r="161" spans="1:29" s="2" customFormat="1" ht="15" customHeight="1" x14ac:dyDescent="0.3">
      <c r="A161" s="447"/>
      <c r="B161" s="445"/>
      <c r="C161" s="445"/>
      <c r="D161" s="448"/>
      <c r="E161" s="417"/>
      <c r="F161" s="417"/>
      <c r="G161" s="292"/>
      <c r="H161" s="227"/>
      <c r="I161" s="227"/>
      <c r="J161" s="135"/>
      <c r="K161" s="238"/>
      <c r="M161" s="136">
        <f t="shared" si="19"/>
        <v>0</v>
      </c>
      <c r="N161" s="121"/>
      <c r="O161" s="121">
        <f>IF(A161&lt;=$B$13,IF($B$16="Single project",MAX(100,F161*'Cost data'!$C$60),MAX(100/7,F161*'Cost data'!$C$60)),0)</f>
        <v>100</v>
      </c>
      <c r="P161" s="246">
        <f>IF(A161&lt;=$B$13,IF($B$16="Single project",'Cost data'!$C$55,(IF($B$16="Group of projects",'Cost data'!$D$55,0))),0)</f>
        <v>2250</v>
      </c>
      <c r="Q161" s="122">
        <f>IF(A161&lt;=B$13,IF(B$17="Yes",'Cost data'!E$62,IF(B$10&lt;=50,'Cost data'!D$62,'Cost data'!C$62)),0)</f>
        <v>850</v>
      </c>
      <c r="R161" s="127">
        <f>IF(A161&lt;=B$13,(IF(B$16="Single project",'Cost data'!C$56,IF(B$16="Group of projects",'Cost data'!D$56,0))),0)</f>
        <v>2702</v>
      </c>
      <c r="S161" s="137">
        <f t="shared" si="24"/>
        <v>5902</v>
      </c>
      <c r="T161" s="138">
        <f t="shared" si="25"/>
        <v>81143</v>
      </c>
      <c r="V161" s="120">
        <f t="shared" si="18"/>
        <v>0</v>
      </c>
      <c r="W161" s="105">
        <f>IF(M161&lt;='Data entry'!$B$13,I161-S161,0)</f>
        <v>-5902</v>
      </c>
      <c r="X161" s="126">
        <f>IF(M161&lt;='Data entry'!$B$13,J161-T161,0)</f>
        <v>-81143</v>
      </c>
      <c r="Y161" s="106"/>
      <c r="AC161" s="165"/>
    </row>
    <row r="162" spans="1:29" s="2" customFormat="1" ht="15" customHeight="1" thickBot="1" x14ac:dyDescent="0.35">
      <c r="A162" s="449"/>
      <c r="B162" s="450"/>
      <c r="C162" s="450"/>
      <c r="D162" s="451"/>
      <c r="E162" s="430"/>
      <c r="F162" s="430"/>
      <c r="G162" s="292"/>
      <c r="H162" s="227"/>
      <c r="I162" s="227"/>
      <c r="J162" s="135"/>
      <c r="K162" s="240"/>
      <c r="M162" s="136">
        <f t="shared" si="19"/>
        <v>0</v>
      </c>
      <c r="N162" s="121"/>
      <c r="O162" s="121">
        <f>IF(A162&lt;=$B$13,IF($B$16="Single project",MAX(100,F162*'Cost data'!$C$60),MAX(100/7,F162*'Cost data'!$C$60)),0)</f>
        <v>100</v>
      </c>
      <c r="P162" s="246">
        <f>IF(A162&lt;=$B$13,IF($B$16="Single project",'Cost data'!$C$55,(IF($B$16="Group of projects",'Cost data'!$D$55,0))),0)</f>
        <v>2250</v>
      </c>
      <c r="Q162" s="122">
        <f>IF(A162&lt;=B$13,IF(B$17="Yes",'Cost data'!E$62,IF(B$10&lt;=50,'Cost data'!D$62,'Cost data'!C$62)),0)</f>
        <v>850</v>
      </c>
      <c r="R162" s="127">
        <f>IF(A162&lt;=B$13,(IF(B$16="Single project",'Cost data'!C$56,IF(B$16="Group of projects",'Cost data'!D$56,0))),0)</f>
        <v>2702</v>
      </c>
      <c r="S162" s="137">
        <f t="shared" si="24"/>
        <v>5902</v>
      </c>
      <c r="T162" s="138">
        <f t="shared" si="25"/>
        <v>87045</v>
      </c>
      <c r="V162" s="161">
        <f t="shared" si="18"/>
        <v>0</v>
      </c>
      <c r="W162" s="105">
        <f>IF(M162&lt;='Data entry'!$B$13,I162-S162,0)</f>
        <v>-5902</v>
      </c>
      <c r="X162" s="126">
        <f>IF(M162&lt;='Data entry'!$B$13,J162-T162,0)</f>
        <v>-87045</v>
      </c>
      <c r="Y162" s="106"/>
      <c r="AC162" s="165"/>
    </row>
    <row r="163" spans="1:29" s="2" customFormat="1" ht="15" customHeight="1" thickBot="1" x14ac:dyDescent="0.35">
      <c r="A163" s="886" t="s">
        <v>12</v>
      </c>
      <c r="B163" s="431"/>
      <c r="C163" s="420"/>
      <c r="D163" s="452"/>
      <c r="E163" s="453"/>
      <c r="F163" s="453"/>
      <c r="G163" s="292"/>
      <c r="H163" s="230"/>
      <c r="I163" s="232"/>
      <c r="J163" s="232"/>
      <c r="K163" s="239"/>
      <c r="M163" s="149" t="str">
        <f t="shared" si="19"/>
        <v>Subtotal - remainder not claimable under WCaG</v>
      </c>
      <c r="N163" s="150">
        <f t="shared" ref="N163:S163" si="26">SUM(N156:N162)</f>
        <v>0</v>
      </c>
      <c r="O163" s="150">
        <f t="shared" si="26"/>
        <v>700</v>
      </c>
      <c r="P163" s="150">
        <f t="shared" ref="P163" si="27">SUM(P156:P162)</f>
        <v>15750</v>
      </c>
      <c r="Q163" s="150">
        <f t="shared" si="26"/>
        <v>5950</v>
      </c>
      <c r="R163" s="151">
        <f t="shared" si="26"/>
        <v>18914</v>
      </c>
      <c r="S163" s="151">
        <f t="shared" si="26"/>
        <v>41314</v>
      </c>
      <c r="T163" s="162">
        <f>T162</f>
        <v>87045</v>
      </c>
      <c r="V163" s="140" t="s">
        <v>11</v>
      </c>
      <c r="W163" s="141">
        <f>SUM(W156:W162)</f>
        <v>-41314</v>
      </c>
      <c r="X163" s="152">
        <f>X162</f>
        <v>-87045</v>
      </c>
      <c r="Y163" s="224"/>
      <c r="AC163" s="165"/>
    </row>
    <row r="164" spans="1:29" s="2" customFormat="1" ht="15" customHeight="1" thickBot="1" x14ac:dyDescent="0.35">
      <c r="A164" s="454" t="s">
        <v>13</v>
      </c>
      <c r="B164" s="455"/>
      <c r="C164" s="456"/>
      <c r="D164" s="435"/>
      <c r="E164" s="435"/>
      <c r="F164" s="435"/>
      <c r="G164" s="292"/>
      <c r="H164" s="229"/>
      <c r="I164" s="233"/>
      <c r="J164" s="233"/>
      <c r="K164" s="236">
        <f>F164*'Income data'!K4</f>
        <v>0</v>
      </c>
      <c r="M164" s="153" t="s">
        <v>7</v>
      </c>
      <c r="N164" s="154">
        <f t="shared" ref="N164:S164" si="28">N155+N163</f>
        <v>0</v>
      </c>
      <c r="O164" s="154">
        <f t="shared" si="28"/>
        <v>1400</v>
      </c>
      <c r="P164" s="154">
        <f t="shared" si="28"/>
        <v>33800</v>
      </c>
      <c r="Q164" s="154">
        <f t="shared" si="28"/>
        <v>11900</v>
      </c>
      <c r="R164" s="155">
        <f t="shared" si="28"/>
        <v>39945</v>
      </c>
      <c r="S164" s="155">
        <f t="shared" si="28"/>
        <v>87045</v>
      </c>
      <c r="T164" s="163">
        <f>T162</f>
        <v>87045</v>
      </c>
      <c r="V164" s="158" t="s">
        <v>7</v>
      </c>
      <c r="W164" s="159">
        <f>W155+W163</f>
        <v>-87045</v>
      </c>
      <c r="X164" s="160">
        <f>X162</f>
        <v>-87045</v>
      </c>
      <c r="Y164" s="224"/>
      <c r="AC164" s="165"/>
    </row>
    <row r="165" spans="1:29" s="2" customFormat="1" ht="14" x14ac:dyDescent="0.3">
      <c r="A165" s="310"/>
      <c r="B165" s="292"/>
      <c r="C165" s="457" t="s">
        <v>556</v>
      </c>
      <c r="D165" s="458"/>
      <c r="E165" s="458"/>
      <c r="F165" s="458"/>
      <c r="G165" s="292"/>
      <c r="AC165" s="165"/>
    </row>
    <row r="166" spans="1:29" s="2" customFormat="1" ht="17.25" customHeight="1" x14ac:dyDescent="0.3">
      <c r="A166" s="119"/>
      <c r="B166" s="214"/>
      <c r="C166" s="201"/>
      <c r="D166" s="139"/>
      <c r="E166" s="139"/>
      <c r="F166" s="139"/>
      <c r="G166" s="112"/>
      <c r="I166" s="179"/>
      <c r="J166" s="224"/>
      <c r="K166" s="224"/>
      <c r="AB166" s="165"/>
    </row>
    <row r="168" spans="1:29" x14ac:dyDescent="0.3">
      <c r="D168" s="202"/>
      <c r="E168" s="202"/>
      <c r="G168" s="203"/>
    </row>
    <row r="169" spans="1:29" x14ac:dyDescent="0.3">
      <c r="D169" s="202"/>
      <c r="E169" s="202"/>
      <c r="G169" s="203"/>
    </row>
    <row r="170" spans="1:29" x14ac:dyDescent="0.3">
      <c r="D170" s="202"/>
      <c r="E170" s="202"/>
    </row>
  </sheetData>
  <sheetProtection algorithmName="SHA-512" hashValue="dM4Gqezvjt/KcyNLy034otlhVMDqMv13NzdIdfvBpQ6NwDL7iAYaiJBu/j8GlZlxFwtq6JuNBm2e00JLRmiXlA==" saltValue="gFlyuxPReZJZ0ridyu7h0g==" spinCount="100000" sheet="1" objects="1" scenarios="1"/>
  <mergeCells count="24">
    <mergeCell ref="C55:D55"/>
    <mergeCell ref="A109:B109"/>
    <mergeCell ref="C69:G69"/>
    <mergeCell ref="A79:C79"/>
    <mergeCell ref="A80:C80"/>
    <mergeCell ref="C106:G106"/>
    <mergeCell ref="C72:F72"/>
    <mergeCell ref="C73:F73"/>
    <mergeCell ref="C74:F74"/>
    <mergeCell ref="C26:C30"/>
    <mergeCell ref="B1:C1"/>
    <mergeCell ref="D31:E31"/>
    <mergeCell ref="D32:E32"/>
    <mergeCell ref="D37:F37"/>
    <mergeCell ref="A129:F129"/>
    <mergeCell ref="A146:F146"/>
    <mergeCell ref="D84:G85"/>
    <mergeCell ref="D90:G92"/>
    <mergeCell ref="D96:G98"/>
    <mergeCell ref="C103:G103"/>
    <mergeCell ref="D86:G86"/>
    <mergeCell ref="A113:F113"/>
    <mergeCell ref="A114:F114"/>
    <mergeCell ref="D108:F108"/>
  </mergeCells>
  <conditionalFormatting sqref="A8:B9">
    <cfRule type="expression" dxfId="43" priority="64">
      <formula>NOT($B$7="ENGLAND")</formula>
    </cfRule>
  </conditionalFormatting>
  <conditionalFormatting sqref="A9:B9">
    <cfRule type="expression" dxfId="42" priority="62">
      <formula>$B$8="No"</formula>
    </cfRule>
  </conditionalFormatting>
  <conditionalFormatting sqref="A115:F127">
    <cfRule type="expression" dxfId="41" priority="7">
      <formula>AND($B$7="England", $B$8="Yes")</formula>
    </cfRule>
  </conditionalFormatting>
  <conditionalFormatting sqref="A130:F144">
    <cfRule type="expression" dxfId="40" priority="1">
      <formula>AND($B$7="England", $B$8="Yes", $B$9="10-Yearly")</formula>
    </cfRule>
  </conditionalFormatting>
  <conditionalFormatting sqref="A147:F164">
    <cfRule type="expression" dxfId="39" priority="5">
      <formula>AND($B$7="England", $B$8="Yes", $B$9="5-Yearly")</formula>
    </cfRule>
  </conditionalFormatting>
  <conditionalFormatting sqref="B31">
    <cfRule type="expression" dxfId="38" priority="185" stopIfTrue="1">
      <formula>ROUND($B$31,0)&gt;ROUND($C$31,0)</formula>
    </cfRule>
  </conditionalFormatting>
  <conditionalFormatting sqref="B32">
    <cfRule type="expression" dxfId="37" priority="226" stopIfTrue="1">
      <formula>ROUND($B$32,0)&gt;ROUND($C$32,0)</formula>
    </cfRule>
  </conditionalFormatting>
  <conditionalFormatting sqref="B45">
    <cfRule type="expression" dxfId="36" priority="75">
      <formula>OR($B$45&gt;$B$10,$B$45&lt;$B$10)</formula>
    </cfRule>
    <cfRule type="expression" dxfId="35" priority="76">
      <formula>$B$45=$B$10</formula>
    </cfRule>
  </conditionalFormatting>
  <conditionalFormatting sqref="B54">
    <cfRule type="expression" dxfId="34" priority="138">
      <formula>$B$54=$B$10</formula>
    </cfRule>
    <cfRule type="expression" dxfId="33" priority="137">
      <formula>OR($B$54&gt;$B$10,$B$54&lt;$B$10)</formula>
    </cfRule>
  </conditionalFormatting>
  <conditionalFormatting sqref="B55">
    <cfRule type="expression" dxfId="32" priority="123" stopIfTrue="1">
      <formula>$B$55&gt;$B$10</formula>
    </cfRule>
  </conditionalFormatting>
  <conditionalFormatting sqref="B69">
    <cfRule type="expression" dxfId="31" priority="146" stopIfTrue="1">
      <formula>$B$69&lt;$B$10</formula>
    </cfRule>
    <cfRule type="expression" dxfId="30" priority="147" stopIfTrue="1">
      <formula>$B$69=$B$10</formula>
    </cfRule>
    <cfRule type="expression" dxfId="29" priority="139" stopIfTrue="1">
      <formula>$B$69&gt;$B$10</formula>
    </cfRule>
  </conditionalFormatting>
  <conditionalFormatting sqref="B106">
    <cfRule type="expression" dxfId="1" priority="181" stopIfTrue="1">
      <formula>ROUND($B$106,2)=ROUND($B$11,2)</formula>
    </cfRule>
    <cfRule type="expression" dxfId="0" priority="182" stopIfTrue="1">
      <formula>OR(ROUND($B$106,2)&gt;ROUND($B$11,2),ROUND(B106,2)&lt;ROUND(B11,2))</formula>
    </cfRule>
  </conditionalFormatting>
  <conditionalFormatting sqref="C37">
    <cfRule type="expression" dxfId="28" priority="30">
      <formula>ROUND($C$37,0)&gt;ROUND($B$10,0)</formula>
    </cfRule>
  </conditionalFormatting>
  <conditionalFormatting sqref="C103:C105">
    <cfRule type="containsText" dxfId="27" priority="124" stopIfTrue="1" operator="containsText" text="ERROR">
      <formula>NOT(ISERROR(SEARCH("ERROR",C103)))</formula>
    </cfRule>
    <cfRule type="cellIs" dxfId="26" priority="125" stopIfTrue="1" operator="equal">
      <formula>ERROR</formula>
    </cfRule>
  </conditionalFormatting>
  <conditionalFormatting sqref="D128">
    <cfRule type="expression" dxfId="25" priority="86">
      <formula>D127=SUM(D116:D126)</formula>
    </cfRule>
    <cfRule type="expression" dxfId="24" priority="71">
      <formula>OR(D127&gt;SUM(D116:D126),D127&lt;SUM($D$116:$D$126))</formula>
    </cfRule>
  </conditionalFormatting>
  <conditionalFormatting sqref="D145">
    <cfRule type="expression" dxfId="23" priority="69">
      <formula>OR(D$135+D$143&lt;D$144,D$135+D$143&gt;D$144)</formula>
    </cfRule>
    <cfRule type="expression" dxfId="22" priority="82">
      <formula>D$144=D$135+D$143</formula>
    </cfRule>
  </conditionalFormatting>
  <conditionalFormatting sqref="D165">
    <cfRule type="expression" dxfId="21" priority="66">
      <formula>OR(D$155+D$163&lt;D$164,D$155+D$163&gt;D$164)</formula>
    </cfRule>
    <cfRule type="expression" dxfId="20" priority="79">
      <formula>D$164=$D$155+$D$163</formula>
    </cfRule>
  </conditionalFormatting>
  <conditionalFormatting sqref="D59:F59">
    <cfRule type="expression" dxfId="19" priority="29">
      <formula>SUM($D$59,$E$59,$F$59)&gt;1</formula>
    </cfRule>
  </conditionalFormatting>
  <conditionalFormatting sqref="D60:F60">
    <cfRule type="expression" dxfId="18" priority="28">
      <formula>SUM($D$60,$E$60,$F$60)&gt;1</formula>
    </cfRule>
  </conditionalFormatting>
  <conditionalFormatting sqref="D61:F61">
    <cfRule type="expression" dxfId="17" priority="27">
      <formula>SUM($D$61,$E$61,$F$61)&gt;1</formula>
    </cfRule>
  </conditionalFormatting>
  <conditionalFormatting sqref="D62:F62">
    <cfRule type="expression" dxfId="16" priority="26">
      <formula>SUM($D$62,$E$62,$F$62)&gt;1</formula>
    </cfRule>
  </conditionalFormatting>
  <conditionalFormatting sqref="D65:F65">
    <cfRule type="expression" dxfId="15" priority="21">
      <formula>SUM($D$65,$E$65,$F$65)&gt;1</formula>
    </cfRule>
  </conditionalFormatting>
  <conditionalFormatting sqref="D66:F66">
    <cfRule type="expression" dxfId="14" priority="20">
      <formula>SUM($D$66,$E$66,$F$66)&gt;1</formula>
    </cfRule>
  </conditionalFormatting>
  <conditionalFormatting sqref="E128:F128">
    <cfRule type="expression" dxfId="13" priority="193">
      <formula>OR(E127&gt;SUM(E116:E126),E127&lt;SUM($E$116:$E$126))</formula>
    </cfRule>
    <cfRule type="expression" dxfId="12" priority="194">
      <formula>E127=SUM($E$116:$E$126)</formula>
    </cfRule>
  </conditionalFormatting>
  <conditionalFormatting sqref="E145:F145">
    <cfRule type="expression" dxfId="11" priority="199">
      <formula>OR(E$135+E$143&gt;E$144,E$135+E$143&lt;E$144)</formula>
    </cfRule>
    <cfRule type="expression" dxfId="10" priority="200">
      <formula>E$144=$E$135+$E$143</formula>
    </cfRule>
  </conditionalFormatting>
  <conditionalFormatting sqref="E165:F165">
    <cfRule type="expression" dxfId="9" priority="205">
      <formula>OR(E155+E163&lt;E164,E155+E163&gt;E164)</formula>
    </cfRule>
    <cfRule type="expression" dxfId="8" priority="206">
      <formula>E164=$E$155+$E$163</formula>
    </cfRule>
  </conditionalFormatting>
  <conditionalFormatting sqref="G59">
    <cfRule type="expression" dxfId="7" priority="25">
      <formula>$G$59&gt;1</formula>
    </cfRule>
  </conditionalFormatting>
  <conditionalFormatting sqref="G60">
    <cfRule type="expression" dxfId="6" priority="24">
      <formula>$G$60&gt;1</formula>
    </cfRule>
  </conditionalFormatting>
  <conditionalFormatting sqref="G61">
    <cfRule type="expression" dxfId="5" priority="23">
      <formula>$G$61&gt;1</formula>
    </cfRule>
  </conditionalFormatting>
  <conditionalFormatting sqref="G62">
    <cfRule type="expression" dxfId="4" priority="22">
      <formula>$G$62&gt;1</formula>
    </cfRule>
  </conditionalFormatting>
  <conditionalFormatting sqref="G65">
    <cfRule type="expression" dxfId="3" priority="19">
      <formula>$G$65&gt;1</formula>
    </cfRule>
  </conditionalFormatting>
  <conditionalFormatting sqref="G66">
    <cfRule type="expression" dxfId="2" priority="18">
      <formula>$G$66&gt;1</formula>
    </cfRule>
  </conditionalFormatting>
  <dataValidations count="28">
    <dataValidation type="textLength" allowBlank="1" showInputMessage="1" showErrorMessage="1" sqref="B56 B15 B47 B39 A72:A73 B75" xr:uid="{472865B1-FBC0-439B-BBD8-79F43B57CBD9}">
      <formula1>0</formula1>
      <formula2>30</formula2>
    </dataValidation>
    <dataValidation type="decimal" operator="greaterThan" allowBlank="1" showErrorMessage="1" errorTitle="Invalid Entry" error="Please enter numbers only" sqref="B11" xr:uid="{FD7AFE70-1462-4CCB-96F0-56B47F9ABEA6}">
      <formula1>0</formula1>
    </dataValidation>
    <dataValidation type="textLength" operator="equal" allowBlank="1" showErrorMessage="1" errorTitle="Invalid Entry" error="Please enter the project ID" sqref="B6" xr:uid="{02727552-ABF3-4B66-8519-25ACF9F55425}">
      <formula1>15</formula1>
    </dataValidation>
    <dataValidation type="list" allowBlank="1" showInputMessage="1" showErrorMessage="1" sqref="B17 D64:E64 B86 B37 D68:F68" xr:uid="{A750FF42-0B83-4E01-895C-590824E3124A}">
      <formula1>"Select one, Yes, No"</formula1>
    </dataValidation>
    <dataValidation type="list" allowBlank="1" showInputMessage="1" showErrorMessage="1" sqref="B9" xr:uid="{0B0C3A89-D07F-430C-9D19-A93EFFA1DD7D}">
      <formula1>"5-Yearly, 10-Yearly"</formula1>
    </dataValidation>
    <dataValidation type="list" allowBlank="1" showInputMessage="1" showErrorMessage="1" sqref="B13" xr:uid="{64182E93-27B6-4CB5-845E-D0ABECD1457F}">
      <formula1>"20,25,30,35,40,45,50,55,60,65,70,75,80,85,90,95,100"</formula1>
    </dataValidation>
    <dataValidation type="list" allowBlank="1" showInputMessage="1" showErrorMessage="1" sqref="B16" xr:uid="{B3467723-A87F-4671-B329-B851D9D17D2F}">
      <formula1>"Single project, Group of projects"</formula1>
    </dataValidation>
    <dataValidation type="list" allowBlank="1" showInputMessage="1" showErrorMessage="1" sqref="B7 B9" xr:uid="{11F53502-42AA-48E7-9A92-E1818CC75190}">
      <formula1>"Select one, England,Scotland,Wales,Northern_Ireland"</formula1>
    </dataValidation>
    <dataValidation operator="greaterThanOrEqual" allowBlank="1" showInputMessage="1" showErrorMessage="1" sqref="B69:B70" xr:uid="{D423FD20-9240-4994-8B50-E07410FF50F2}"/>
    <dataValidation allowBlank="1" showInputMessage="1" showErrorMessage="1" promptTitle="Site Preparation" prompt="Please select site disturbance/ ground prep category" sqref="A55 A42:A44" xr:uid="{2D990CB7-6BE4-47FD-B84A-6663B53B3301}"/>
    <dataValidation operator="lessThanOrEqual" allowBlank="1" showErrorMessage="1" errorTitle="Value too high" error="Please insert a value lower than 20m per net planted hectare." sqref="C33 J32 C39:C44 C46 D38:E46 B33:B36 B32:D32" xr:uid="{D9C98A0A-B45B-4F38-9004-12344482112D}"/>
    <dataValidation type="list" allowBlank="1" showInputMessage="1" showErrorMessage="1" sqref="H5" xr:uid="{BFD314A4-4233-4C49-B0A4-84A87AB91403}">
      <formula1>"3%,4%,3.5% Declining"</formula1>
    </dataValidation>
    <dataValidation type="decimal" operator="lessThanOrEqual" allowBlank="1" showErrorMessage="1" errorTitle="Value too high" error="Please insert a value lower than 20m per net planted hectare." sqref="F45" xr:uid="{C480875A-391B-4610-853B-0E3B4212CE77}">
      <formula1>F16*20</formula1>
    </dataValidation>
    <dataValidation type="decimal" operator="lessThanOrEqual" allowBlank="1" showErrorMessage="1" errorTitle="Value too high" error="Please insert a value lower than 20m per net planted hectare." sqref="F33" xr:uid="{972A21B8-F051-46DD-BDF7-801C5199AE76}">
      <formula1>F12*20</formula1>
    </dataValidation>
    <dataValidation allowBlank="1" showInputMessage="1" showErrorMessage="1" errorTitle="Track Creation" error="Max claimable is 40m/net hectare" sqref="B31" xr:uid="{B4EADA09-E267-410C-BC04-63C55C64762A}"/>
    <dataValidation type="decimal" operator="lessThanOrEqual" allowBlank="1" showErrorMessage="1" errorTitle="Value too high" error="Please insert a value lower than 20m per net planted hectare." sqref="F43" xr:uid="{8F6BBFDC-5AF9-400B-A4C4-510B3C97B5E9}">
      <formula1>#REF!*20</formula1>
    </dataValidation>
    <dataValidation type="decimal" operator="greaterThanOrEqual" allowBlank="1" showErrorMessage="1" errorTitle="Invalid Entry" error="Please enter numbers only" sqref="B10" xr:uid="{4534F405-E033-42EC-B3A4-61F59FEF8812}">
      <formula1>0</formula1>
    </dataValidation>
    <dataValidation type="decimal" operator="lessThanOrEqual" allowBlank="1" showErrorMessage="1" errorTitle="Value too high" error="Please insert a value lower than 20m per net planted hectare." sqref="B46 F46" xr:uid="{C7463A2E-742F-4407-8427-20B1BC4AEED3}">
      <formula1>B16*20</formula1>
    </dataValidation>
    <dataValidation type="decimal" allowBlank="1" showInputMessage="1" showErrorMessage="1" error="Enter a number greater than zero and less than or equal to 5" sqref="C65:C66 C59:C62" xr:uid="{32891FD0-517B-4F8E-82B6-099414E8C8D7}">
      <formula1>0.01</formula1>
      <formula2>5</formula2>
    </dataValidation>
    <dataValidation type="list" allowBlank="1" showInputMessage="1" showErrorMessage="1" sqref="B8" xr:uid="{AA9C9B4A-DCAF-4604-8BDB-F5367CC30F24}">
      <formula1>"Yes, No"</formula1>
    </dataValidation>
    <dataValidation type="decimal" operator="lessThanOrEqual" allowBlank="1" showErrorMessage="1" errorTitle="Value too high" error="Please insert a value lower than 20m per net planted hectare." sqref="F44" xr:uid="{80CE9A2E-EA26-4DD8-82B5-B98D5D31CD90}">
      <formula1>F8*20</formula1>
    </dataValidation>
    <dataValidation type="decimal" operator="lessThanOrEqual" allowBlank="1" showErrorMessage="1" errorTitle="Value too high" error="Please insert a value lower than 20m per net planted hectare." sqref="F42" xr:uid="{C44BC846-86F0-437F-BD13-E51737B46890}">
      <formula1>F15*20</formula1>
    </dataValidation>
    <dataValidation type="list" allowBlank="1" showInputMessage="1" showErrorMessage="1" sqref="B8" xr:uid="{18DA86EE-FECB-435B-8811-2EB2AD0A9966}">
      <formula1>"Select one,Yes,No"</formula1>
    </dataValidation>
    <dataValidation type="decimal" operator="lessThanOrEqual" allowBlank="1" showErrorMessage="1" errorTitle="Value too high" error="Please insert a value lower than 20m per net planted hectare." sqref="F39:F41" xr:uid="{09BD6B99-5690-4872-95A8-164088F31EE2}">
      <formula1>F13*20</formula1>
    </dataValidation>
    <dataValidation type="whole" allowBlank="1" showInputMessage="1" showErrorMessage="1" sqref="C96:C98" xr:uid="{CB59C978-8488-46D4-AF4D-95786DFA82FB}">
      <formula1>$B$12</formula1>
      <formula2>$B$12+$B$13</formula2>
    </dataValidation>
    <dataValidation type="date" showErrorMessage="1" errorTitle="Invalid Entry" error="Please enter date in the format dd/mm/yyyy" sqref="B14:G14" xr:uid="{E29A1844-1505-49A4-BCEF-1A0B0E62DAAA}">
      <formula1>40544</formula1>
      <formula2>73415</formula2>
    </dataValidation>
    <dataValidation type="whole" allowBlank="1" showErrorMessage="1" errorTitle="Invalid Entry" error="Please enter start year in the format yyyy" sqref="B12 D12:G12" xr:uid="{5B160E79-3352-4280-808A-9F419051C7EA}">
      <formula1>2018</formula1>
      <formula2>2030</formula2>
    </dataValidation>
    <dataValidation type="decimal" operator="lessThanOrEqual" allowBlank="1" showErrorMessage="1" errorTitle="Value too high" error="Please insert a value lower than 20m per net planted hectare." sqref="B38 F38" xr:uid="{04E98076-1815-4F84-9DE5-4EDC8AAC2523}">
      <formula1>B13*20</formula1>
    </dataValidation>
  </dataValidations>
  <hyperlinks>
    <hyperlink ref="A109" r:id="rId1" xr:uid="{3BE58E84-DBEA-4722-9547-29585C3B0861}"/>
  </hyperlinks>
  <pageMargins left="0.7" right="0.7" top="0.75" bottom="0.75" header="0.3" footer="0.3"/>
  <pageSetup paperSize="9" orientation="portrait" horizontalDpi="90" verticalDpi="90" r:id="rId2"/>
  <ignoredErrors>
    <ignoredError sqref="B6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79998168889431442"/>
  </sheetPr>
  <dimension ref="A1:CY104"/>
  <sheetViews>
    <sheetView zoomScaleNormal="100" workbookViewId="0">
      <pane xSplit="2" ySplit="4" topLeftCell="C5" activePane="bottomRight" state="frozen"/>
      <selection pane="topRight" activeCell="C1" sqref="C1"/>
      <selection pane="bottomLeft" activeCell="A4" sqref="A4"/>
      <selection pane="bottomRight"/>
    </sheetView>
  </sheetViews>
  <sheetFormatPr defaultColWidth="9" defaultRowHeight="13.5" x14ac:dyDescent="0.3"/>
  <cols>
    <col min="1" max="1" width="17.23046875" customWidth="1"/>
    <col min="2" max="2" width="46.23046875" customWidth="1"/>
    <col min="3" max="3" width="16.15234375" style="68" customWidth="1"/>
    <col min="4" max="103" width="12.61328125" customWidth="1"/>
  </cols>
  <sheetData>
    <row r="1" spans="1:103" ht="20" x14ac:dyDescent="0.4">
      <c r="A1" s="262" t="s">
        <v>79</v>
      </c>
      <c r="B1" s="288"/>
      <c r="C1" s="459"/>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row>
    <row r="2" spans="1:103" ht="20.5" thickBot="1" x14ac:dyDescent="0.45">
      <c r="A2" s="262"/>
      <c r="B2" s="288"/>
      <c r="C2" s="459"/>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row>
    <row r="3" spans="1:103" ht="15" customHeight="1" thickBot="1" x14ac:dyDescent="0.4">
      <c r="A3" s="460" t="s">
        <v>430</v>
      </c>
      <c r="B3" s="461"/>
      <c r="C3" s="462"/>
      <c r="D3" s="463">
        <f>'Data entry'!B12</f>
        <v>0</v>
      </c>
      <c r="E3" s="461">
        <f>D3+1</f>
        <v>1</v>
      </c>
      <c r="F3" s="461">
        <f t="shared" ref="F3:BQ3" si="0">E3+1</f>
        <v>2</v>
      </c>
      <c r="G3" s="461">
        <f t="shared" si="0"/>
        <v>3</v>
      </c>
      <c r="H3" s="461">
        <f t="shared" si="0"/>
        <v>4</v>
      </c>
      <c r="I3" s="461">
        <f>H3+1</f>
        <v>5</v>
      </c>
      <c r="J3" s="461">
        <f t="shared" si="0"/>
        <v>6</v>
      </c>
      <c r="K3" s="461">
        <f t="shared" si="0"/>
        <v>7</v>
      </c>
      <c r="L3" s="461">
        <f t="shared" si="0"/>
        <v>8</v>
      </c>
      <c r="M3" s="461">
        <f t="shared" si="0"/>
        <v>9</v>
      </c>
      <c r="N3" s="461">
        <f>M3+1</f>
        <v>10</v>
      </c>
      <c r="O3" s="461">
        <f t="shared" si="0"/>
        <v>11</v>
      </c>
      <c r="P3" s="461">
        <f>O3+1</f>
        <v>12</v>
      </c>
      <c r="Q3" s="461">
        <f>P3+1</f>
        <v>13</v>
      </c>
      <c r="R3" s="461">
        <f t="shared" si="0"/>
        <v>14</v>
      </c>
      <c r="S3" s="461">
        <f t="shared" si="0"/>
        <v>15</v>
      </c>
      <c r="T3" s="461">
        <f>S3+1</f>
        <v>16</v>
      </c>
      <c r="U3" s="461">
        <f t="shared" si="0"/>
        <v>17</v>
      </c>
      <c r="V3" s="461">
        <f t="shared" si="0"/>
        <v>18</v>
      </c>
      <c r="W3" s="461">
        <f t="shared" si="0"/>
        <v>19</v>
      </c>
      <c r="X3" s="461">
        <f t="shared" si="0"/>
        <v>20</v>
      </c>
      <c r="Y3" s="461">
        <f t="shared" si="0"/>
        <v>21</v>
      </c>
      <c r="Z3" s="461">
        <f t="shared" si="0"/>
        <v>22</v>
      </c>
      <c r="AA3" s="461">
        <f t="shared" si="0"/>
        <v>23</v>
      </c>
      <c r="AB3" s="461">
        <f t="shared" si="0"/>
        <v>24</v>
      </c>
      <c r="AC3" s="461">
        <f t="shared" si="0"/>
        <v>25</v>
      </c>
      <c r="AD3" s="461">
        <f t="shared" si="0"/>
        <v>26</v>
      </c>
      <c r="AE3" s="461">
        <f t="shared" si="0"/>
        <v>27</v>
      </c>
      <c r="AF3" s="461">
        <f t="shared" si="0"/>
        <v>28</v>
      </c>
      <c r="AG3" s="461">
        <f t="shared" si="0"/>
        <v>29</v>
      </c>
      <c r="AH3" s="461">
        <f t="shared" si="0"/>
        <v>30</v>
      </c>
      <c r="AI3" s="461">
        <f t="shared" si="0"/>
        <v>31</v>
      </c>
      <c r="AJ3" s="461">
        <f t="shared" si="0"/>
        <v>32</v>
      </c>
      <c r="AK3" s="461">
        <f t="shared" si="0"/>
        <v>33</v>
      </c>
      <c r="AL3" s="461">
        <f t="shared" si="0"/>
        <v>34</v>
      </c>
      <c r="AM3" s="461">
        <f t="shared" si="0"/>
        <v>35</v>
      </c>
      <c r="AN3" s="461">
        <f t="shared" si="0"/>
        <v>36</v>
      </c>
      <c r="AO3" s="464">
        <f t="shared" si="0"/>
        <v>37</v>
      </c>
      <c r="AP3" s="461">
        <f t="shared" si="0"/>
        <v>38</v>
      </c>
      <c r="AQ3" s="461">
        <f t="shared" si="0"/>
        <v>39</v>
      </c>
      <c r="AR3" s="461">
        <f t="shared" si="0"/>
        <v>40</v>
      </c>
      <c r="AS3" s="461">
        <f t="shared" si="0"/>
        <v>41</v>
      </c>
      <c r="AT3" s="461">
        <f t="shared" si="0"/>
        <v>42</v>
      </c>
      <c r="AU3" s="461">
        <f t="shared" si="0"/>
        <v>43</v>
      </c>
      <c r="AV3" s="461">
        <f t="shared" si="0"/>
        <v>44</v>
      </c>
      <c r="AW3" s="461">
        <f t="shared" si="0"/>
        <v>45</v>
      </c>
      <c r="AX3" s="461">
        <f t="shared" si="0"/>
        <v>46</v>
      </c>
      <c r="AY3" s="461">
        <f t="shared" si="0"/>
        <v>47</v>
      </c>
      <c r="AZ3" s="461">
        <f t="shared" si="0"/>
        <v>48</v>
      </c>
      <c r="BA3" s="461">
        <f t="shared" si="0"/>
        <v>49</v>
      </c>
      <c r="BB3" s="461">
        <f t="shared" si="0"/>
        <v>50</v>
      </c>
      <c r="BC3" s="461">
        <f t="shared" si="0"/>
        <v>51</v>
      </c>
      <c r="BD3" s="461">
        <f t="shared" si="0"/>
        <v>52</v>
      </c>
      <c r="BE3" s="461">
        <f t="shared" si="0"/>
        <v>53</v>
      </c>
      <c r="BF3" s="461">
        <f t="shared" si="0"/>
        <v>54</v>
      </c>
      <c r="BG3" s="461">
        <f t="shared" si="0"/>
        <v>55</v>
      </c>
      <c r="BH3" s="461">
        <f t="shared" si="0"/>
        <v>56</v>
      </c>
      <c r="BI3" s="461">
        <f t="shared" si="0"/>
        <v>57</v>
      </c>
      <c r="BJ3" s="461">
        <f t="shared" si="0"/>
        <v>58</v>
      </c>
      <c r="BK3" s="464">
        <f t="shared" si="0"/>
        <v>59</v>
      </c>
      <c r="BL3" s="461">
        <f t="shared" si="0"/>
        <v>60</v>
      </c>
      <c r="BM3" s="461">
        <f t="shared" si="0"/>
        <v>61</v>
      </c>
      <c r="BN3" s="461">
        <f t="shared" si="0"/>
        <v>62</v>
      </c>
      <c r="BO3" s="461">
        <f t="shared" si="0"/>
        <v>63</v>
      </c>
      <c r="BP3" s="461">
        <f t="shared" si="0"/>
        <v>64</v>
      </c>
      <c r="BQ3" s="461">
        <f t="shared" si="0"/>
        <v>65</v>
      </c>
      <c r="BR3" s="461">
        <f t="shared" ref="BR3:CW3" si="1">BQ3+1</f>
        <v>66</v>
      </c>
      <c r="BS3" s="461">
        <f t="shared" si="1"/>
        <v>67</v>
      </c>
      <c r="BT3" s="461">
        <f t="shared" si="1"/>
        <v>68</v>
      </c>
      <c r="BU3" s="461">
        <f t="shared" si="1"/>
        <v>69</v>
      </c>
      <c r="BV3" s="461">
        <f t="shared" si="1"/>
        <v>70</v>
      </c>
      <c r="BW3" s="461">
        <f t="shared" si="1"/>
        <v>71</v>
      </c>
      <c r="BX3" s="461">
        <f t="shared" si="1"/>
        <v>72</v>
      </c>
      <c r="BY3" s="461">
        <f t="shared" si="1"/>
        <v>73</v>
      </c>
      <c r="BZ3" s="461">
        <f t="shared" si="1"/>
        <v>74</v>
      </c>
      <c r="CA3" s="464">
        <f t="shared" si="1"/>
        <v>75</v>
      </c>
      <c r="CB3" s="461">
        <f t="shared" si="1"/>
        <v>76</v>
      </c>
      <c r="CC3" s="461">
        <f t="shared" si="1"/>
        <v>77</v>
      </c>
      <c r="CD3" s="461">
        <f t="shared" si="1"/>
        <v>78</v>
      </c>
      <c r="CE3" s="461">
        <f t="shared" si="1"/>
        <v>79</v>
      </c>
      <c r="CF3" s="461">
        <f t="shared" si="1"/>
        <v>80</v>
      </c>
      <c r="CG3" s="461">
        <f t="shared" si="1"/>
        <v>81</v>
      </c>
      <c r="CH3" s="461">
        <f t="shared" si="1"/>
        <v>82</v>
      </c>
      <c r="CI3" s="461">
        <f t="shared" si="1"/>
        <v>83</v>
      </c>
      <c r="CJ3" s="461">
        <f t="shared" si="1"/>
        <v>84</v>
      </c>
      <c r="CK3" s="461">
        <f t="shared" si="1"/>
        <v>85</v>
      </c>
      <c r="CL3" s="461">
        <f t="shared" si="1"/>
        <v>86</v>
      </c>
      <c r="CM3" s="461">
        <f t="shared" si="1"/>
        <v>87</v>
      </c>
      <c r="CN3" s="461">
        <f t="shared" si="1"/>
        <v>88</v>
      </c>
      <c r="CO3" s="461">
        <f t="shared" si="1"/>
        <v>89</v>
      </c>
      <c r="CP3" s="461">
        <f t="shared" si="1"/>
        <v>90</v>
      </c>
      <c r="CQ3" s="461">
        <f t="shared" si="1"/>
        <v>91</v>
      </c>
      <c r="CR3" s="461">
        <f t="shared" si="1"/>
        <v>92</v>
      </c>
      <c r="CS3" s="461">
        <f t="shared" si="1"/>
        <v>93</v>
      </c>
      <c r="CT3" s="461">
        <f t="shared" si="1"/>
        <v>94</v>
      </c>
      <c r="CU3" s="461">
        <f t="shared" si="1"/>
        <v>95</v>
      </c>
      <c r="CV3" s="461">
        <f t="shared" si="1"/>
        <v>96</v>
      </c>
      <c r="CW3" s="461">
        <f t="shared" si="1"/>
        <v>97</v>
      </c>
      <c r="CX3" s="461">
        <f>CW3+1</f>
        <v>98</v>
      </c>
      <c r="CY3" s="465">
        <f>CX3+1</f>
        <v>99</v>
      </c>
    </row>
    <row r="4" spans="1:103" s="2" customFormat="1" ht="15" customHeight="1" thickBot="1" x14ac:dyDescent="0.35">
      <c r="A4" s="466" t="s">
        <v>1</v>
      </c>
      <c r="B4" s="467"/>
      <c r="C4" s="468"/>
      <c r="D4" s="469">
        <v>0</v>
      </c>
      <c r="E4" s="469">
        <v>1</v>
      </c>
      <c r="F4" s="469">
        <v>2</v>
      </c>
      <c r="G4" s="469">
        <v>3</v>
      </c>
      <c r="H4" s="469">
        <v>4</v>
      </c>
      <c r="I4" s="469">
        <v>5</v>
      </c>
      <c r="J4" s="469">
        <v>6</v>
      </c>
      <c r="K4" s="469">
        <v>7</v>
      </c>
      <c r="L4" s="469">
        <v>8</v>
      </c>
      <c r="M4" s="469">
        <v>9</v>
      </c>
      <c r="N4" s="469">
        <v>10</v>
      </c>
      <c r="O4" s="469">
        <v>11</v>
      </c>
      <c r="P4" s="469">
        <v>12</v>
      </c>
      <c r="Q4" s="469">
        <v>13</v>
      </c>
      <c r="R4" s="469">
        <v>14</v>
      </c>
      <c r="S4" s="469">
        <v>15</v>
      </c>
      <c r="T4" s="469">
        <v>16</v>
      </c>
      <c r="U4" s="469">
        <v>17</v>
      </c>
      <c r="V4" s="469">
        <v>18</v>
      </c>
      <c r="W4" s="469">
        <v>19</v>
      </c>
      <c r="X4" s="469">
        <v>20</v>
      </c>
      <c r="Y4" s="469">
        <v>21</v>
      </c>
      <c r="Z4" s="469">
        <v>22</v>
      </c>
      <c r="AA4" s="469">
        <v>23</v>
      </c>
      <c r="AB4" s="469">
        <v>24</v>
      </c>
      <c r="AC4" s="469">
        <v>25</v>
      </c>
      <c r="AD4" s="469">
        <v>26</v>
      </c>
      <c r="AE4" s="469">
        <v>27</v>
      </c>
      <c r="AF4" s="469">
        <v>28</v>
      </c>
      <c r="AG4" s="469">
        <v>29</v>
      </c>
      <c r="AH4" s="469">
        <v>30</v>
      </c>
      <c r="AI4" s="469">
        <v>31</v>
      </c>
      <c r="AJ4" s="469">
        <v>32</v>
      </c>
      <c r="AK4" s="469">
        <v>33</v>
      </c>
      <c r="AL4" s="469">
        <v>34</v>
      </c>
      <c r="AM4" s="469">
        <v>35</v>
      </c>
      <c r="AN4" s="469">
        <v>36</v>
      </c>
      <c r="AO4" s="470">
        <v>37</v>
      </c>
      <c r="AP4" s="469">
        <v>38</v>
      </c>
      <c r="AQ4" s="469">
        <v>39</v>
      </c>
      <c r="AR4" s="469">
        <v>40</v>
      </c>
      <c r="AS4" s="469">
        <v>41</v>
      </c>
      <c r="AT4" s="469">
        <v>42</v>
      </c>
      <c r="AU4" s="469">
        <v>43</v>
      </c>
      <c r="AV4" s="469">
        <v>44</v>
      </c>
      <c r="AW4" s="469">
        <v>45</v>
      </c>
      <c r="AX4" s="469">
        <v>46</v>
      </c>
      <c r="AY4" s="469">
        <v>47</v>
      </c>
      <c r="AZ4" s="469">
        <v>48</v>
      </c>
      <c r="BA4" s="469">
        <v>49</v>
      </c>
      <c r="BB4" s="469">
        <v>50</v>
      </c>
      <c r="BC4" s="469">
        <v>51</v>
      </c>
      <c r="BD4" s="469">
        <v>52</v>
      </c>
      <c r="BE4" s="469">
        <v>53</v>
      </c>
      <c r="BF4" s="469">
        <v>54</v>
      </c>
      <c r="BG4" s="469">
        <v>55</v>
      </c>
      <c r="BH4" s="469">
        <v>56</v>
      </c>
      <c r="BI4" s="469">
        <v>57</v>
      </c>
      <c r="BJ4" s="469">
        <v>58</v>
      </c>
      <c r="BK4" s="470">
        <v>59</v>
      </c>
      <c r="BL4" s="469">
        <v>60</v>
      </c>
      <c r="BM4" s="469">
        <v>61</v>
      </c>
      <c r="BN4" s="469">
        <v>62</v>
      </c>
      <c r="BO4" s="469">
        <v>63</v>
      </c>
      <c r="BP4" s="469">
        <v>64</v>
      </c>
      <c r="BQ4" s="469">
        <v>65</v>
      </c>
      <c r="BR4" s="469">
        <v>66</v>
      </c>
      <c r="BS4" s="469">
        <v>67</v>
      </c>
      <c r="BT4" s="469">
        <v>68</v>
      </c>
      <c r="BU4" s="469">
        <v>69</v>
      </c>
      <c r="BV4" s="469">
        <v>70</v>
      </c>
      <c r="BW4" s="469">
        <v>71</v>
      </c>
      <c r="BX4" s="469">
        <v>72</v>
      </c>
      <c r="BY4" s="469">
        <v>73</v>
      </c>
      <c r="BZ4" s="469">
        <v>74</v>
      </c>
      <c r="CA4" s="470">
        <v>75</v>
      </c>
      <c r="CB4" s="469">
        <v>76</v>
      </c>
      <c r="CC4" s="469">
        <v>77</v>
      </c>
      <c r="CD4" s="469">
        <v>78</v>
      </c>
      <c r="CE4" s="469">
        <v>79</v>
      </c>
      <c r="CF4" s="469">
        <v>80</v>
      </c>
      <c r="CG4" s="469">
        <v>81</v>
      </c>
      <c r="CH4" s="469">
        <v>82</v>
      </c>
      <c r="CI4" s="469">
        <v>83</v>
      </c>
      <c r="CJ4" s="469">
        <v>84</v>
      </c>
      <c r="CK4" s="469">
        <v>85</v>
      </c>
      <c r="CL4" s="469">
        <v>86</v>
      </c>
      <c r="CM4" s="469">
        <v>87</v>
      </c>
      <c r="CN4" s="469">
        <v>88</v>
      </c>
      <c r="CO4" s="469">
        <v>89</v>
      </c>
      <c r="CP4" s="469">
        <v>90</v>
      </c>
      <c r="CQ4" s="469">
        <v>91</v>
      </c>
      <c r="CR4" s="469">
        <v>92</v>
      </c>
      <c r="CS4" s="469">
        <v>93</v>
      </c>
      <c r="CT4" s="469">
        <v>94</v>
      </c>
      <c r="CU4" s="469">
        <v>95</v>
      </c>
      <c r="CV4" s="469">
        <v>96</v>
      </c>
      <c r="CW4" s="469">
        <v>97</v>
      </c>
      <c r="CX4" s="469">
        <v>98</v>
      </c>
      <c r="CY4" s="471">
        <v>99</v>
      </c>
    </row>
    <row r="5" spans="1:103" ht="15" customHeight="1" x14ac:dyDescent="0.35">
      <c r="A5" s="472" t="s">
        <v>0</v>
      </c>
      <c r="B5" s="473" t="s">
        <v>25</v>
      </c>
      <c r="C5" s="474"/>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6"/>
      <c r="AP5" s="475"/>
      <c r="AQ5" s="475"/>
      <c r="AR5" s="475"/>
      <c r="AS5" s="475"/>
      <c r="AT5" s="475"/>
      <c r="AU5" s="475"/>
      <c r="AV5" s="475"/>
      <c r="AW5" s="475"/>
      <c r="AX5" s="475"/>
      <c r="AY5" s="475"/>
      <c r="AZ5" s="475"/>
      <c r="BA5" s="475"/>
      <c r="BB5" s="475"/>
      <c r="BC5" s="475"/>
      <c r="BD5" s="475"/>
      <c r="BE5" s="475"/>
      <c r="BF5" s="475"/>
      <c r="BG5" s="475"/>
      <c r="BH5" s="475"/>
      <c r="BI5" s="475"/>
      <c r="BJ5" s="475"/>
      <c r="BK5" s="476"/>
      <c r="BL5" s="475"/>
      <c r="BM5" s="475"/>
      <c r="BN5" s="475"/>
      <c r="BO5" s="475"/>
      <c r="BP5" s="475"/>
      <c r="BQ5" s="475"/>
      <c r="BR5" s="475"/>
      <c r="BS5" s="475"/>
      <c r="BT5" s="475"/>
      <c r="BU5" s="475"/>
      <c r="BV5" s="475"/>
      <c r="BW5" s="475"/>
      <c r="BX5" s="475"/>
      <c r="BY5" s="475"/>
      <c r="BZ5" s="475"/>
      <c r="CA5" s="476"/>
      <c r="CB5" s="475"/>
      <c r="CC5" s="475"/>
      <c r="CD5" s="475"/>
      <c r="CE5" s="475"/>
      <c r="CF5" s="475"/>
      <c r="CG5" s="475"/>
      <c r="CH5" s="475"/>
      <c r="CI5" s="475"/>
      <c r="CJ5" s="475"/>
      <c r="CK5" s="475"/>
      <c r="CL5" s="475"/>
      <c r="CM5" s="475"/>
      <c r="CN5" s="475"/>
      <c r="CO5" s="475"/>
      <c r="CP5" s="475"/>
      <c r="CQ5" s="475"/>
      <c r="CR5" s="475"/>
      <c r="CS5" s="475"/>
      <c r="CT5" s="475"/>
      <c r="CU5" s="475"/>
      <c r="CV5" s="475"/>
      <c r="CW5" s="475"/>
      <c r="CX5" s="475"/>
      <c r="CY5" s="477"/>
    </row>
    <row r="6" spans="1:103" ht="15" customHeight="1" x14ac:dyDescent="0.35">
      <c r="A6" s="888" t="s">
        <v>431</v>
      </c>
      <c r="B6" s="478" t="s">
        <v>436</v>
      </c>
      <c r="C6" s="479">
        <f>SUM(D6:CY6)</f>
        <v>1695</v>
      </c>
      <c r="D6" s="480">
        <f>'Data entry'!I22</f>
        <v>1695</v>
      </c>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2"/>
      <c r="AP6" s="481"/>
      <c r="AQ6" s="481"/>
      <c r="AR6" s="481"/>
      <c r="AS6" s="481"/>
      <c r="AT6" s="481"/>
      <c r="AU6" s="481"/>
      <c r="AV6" s="481"/>
      <c r="AW6" s="481"/>
      <c r="AX6" s="481"/>
      <c r="AY6" s="481"/>
      <c r="AZ6" s="481"/>
      <c r="BA6" s="481"/>
      <c r="BB6" s="481"/>
      <c r="BC6" s="481"/>
      <c r="BD6" s="481"/>
      <c r="BE6" s="481"/>
      <c r="BF6" s="481"/>
      <c r="BG6" s="481"/>
      <c r="BH6" s="481"/>
      <c r="BI6" s="481"/>
      <c r="BJ6" s="481"/>
      <c r="BK6" s="482"/>
      <c r="BL6" s="481"/>
      <c r="BM6" s="481"/>
      <c r="BN6" s="481"/>
      <c r="BO6" s="481"/>
      <c r="BP6" s="481"/>
      <c r="BQ6" s="481"/>
      <c r="BR6" s="481"/>
      <c r="BS6" s="481"/>
      <c r="BT6" s="481"/>
      <c r="BU6" s="481"/>
      <c r="BV6" s="481"/>
      <c r="BW6" s="481"/>
      <c r="BX6" s="481"/>
      <c r="BY6" s="481"/>
      <c r="BZ6" s="481"/>
      <c r="CA6" s="482"/>
      <c r="CB6" s="481"/>
      <c r="CC6" s="481"/>
      <c r="CD6" s="481"/>
      <c r="CE6" s="481"/>
      <c r="CF6" s="481"/>
      <c r="CG6" s="481"/>
      <c r="CH6" s="481"/>
      <c r="CI6" s="481"/>
      <c r="CJ6" s="481"/>
      <c r="CK6" s="481"/>
      <c r="CL6" s="481"/>
      <c r="CM6" s="481"/>
      <c r="CN6" s="481"/>
      <c r="CO6" s="481"/>
      <c r="CP6" s="481"/>
      <c r="CQ6" s="481"/>
      <c r="CR6" s="481"/>
      <c r="CS6" s="481"/>
      <c r="CT6" s="481"/>
      <c r="CU6" s="481"/>
      <c r="CV6" s="481"/>
      <c r="CW6" s="481"/>
      <c r="CX6" s="481"/>
      <c r="CY6" s="483"/>
    </row>
    <row r="7" spans="1:103" ht="15" customHeight="1" x14ac:dyDescent="0.35">
      <c r="A7" s="889"/>
      <c r="B7" s="478" t="s">
        <v>437</v>
      </c>
      <c r="C7" s="479">
        <f t="shared" ref="C7:C31" si="2">SUM(D7:CY7)</f>
        <v>0</v>
      </c>
      <c r="D7" s="480">
        <f>'Data entry'!H45</f>
        <v>0</v>
      </c>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K7" s="481"/>
      <c r="AL7" s="481"/>
      <c r="AM7" s="481"/>
      <c r="AN7" s="481"/>
      <c r="AO7" s="482"/>
      <c r="AP7" s="481"/>
      <c r="AQ7" s="481"/>
      <c r="AR7" s="481"/>
      <c r="AS7" s="481"/>
      <c r="AT7" s="481"/>
      <c r="AU7" s="481"/>
      <c r="AV7" s="481"/>
      <c r="AW7" s="481"/>
      <c r="AX7" s="481"/>
      <c r="AY7" s="481"/>
      <c r="AZ7" s="481"/>
      <c r="BA7" s="481"/>
      <c r="BB7" s="481"/>
      <c r="BC7" s="481"/>
      <c r="BD7" s="481"/>
      <c r="BE7" s="481"/>
      <c r="BF7" s="481"/>
      <c r="BG7" s="481"/>
      <c r="BH7" s="481"/>
      <c r="BI7" s="481"/>
      <c r="BJ7" s="481"/>
      <c r="BK7" s="482"/>
      <c r="BL7" s="481"/>
      <c r="BM7" s="481"/>
      <c r="BN7" s="481"/>
      <c r="BO7" s="481"/>
      <c r="BP7" s="481"/>
      <c r="BQ7" s="481"/>
      <c r="BR7" s="481"/>
      <c r="BS7" s="481"/>
      <c r="BT7" s="481"/>
      <c r="BU7" s="481"/>
      <c r="BV7" s="481"/>
      <c r="BW7" s="481"/>
      <c r="BX7" s="481"/>
      <c r="BY7" s="481"/>
      <c r="BZ7" s="481"/>
      <c r="CA7" s="482"/>
      <c r="CB7" s="481"/>
      <c r="CC7" s="481"/>
      <c r="CD7" s="481"/>
      <c r="CE7" s="481"/>
      <c r="CF7" s="481"/>
      <c r="CG7" s="481"/>
      <c r="CH7" s="481"/>
      <c r="CI7" s="481"/>
      <c r="CJ7" s="481"/>
      <c r="CK7" s="481"/>
      <c r="CL7" s="481"/>
      <c r="CM7" s="481"/>
      <c r="CN7" s="481"/>
      <c r="CO7" s="481"/>
      <c r="CP7" s="481"/>
      <c r="CQ7" s="481"/>
      <c r="CR7" s="481"/>
      <c r="CS7" s="481"/>
      <c r="CT7" s="481"/>
      <c r="CU7" s="481"/>
      <c r="CV7" s="481"/>
      <c r="CW7" s="481"/>
      <c r="CX7" s="481"/>
      <c r="CY7" s="483"/>
    </row>
    <row r="8" spans="1:103" ht="15" customHeight="1" x14ac:dyDescent="0.35">
      <c r="A8" s="889"/>
      <c r="B8" s="288" t="s">
        <v>438</v>
      </c>
      <c r="C8" s="479">
        <f t="shared" si="2"/>
        <v>0</v>
      </c>
      <c r="D8" s="480">
        <f>'Data entry'!H50</f>
        <v>0</v>
      </c>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481"/>
      <c r="AK8" s="481"/>
      <c r="AL8" s="481"/>
      <c r="AM8" s="481"/>
      <c r="AN8" s="481"/>
      <c r="AO8" s="482"/>
      <c r="AP8" s="481"/>
      <c r="AQ8" s="481"/>
      <c r="AR8" s="481"/>
      <c r="AS8" s="481"/>
      <c r="AT8" s="481"/>
      <c r="AU8" s="481"/>
      <c r="AV8" s="481"/>
      <c r="AW8" s="481"/>
      <c r="AX8" s="481"/>
      <c r="AY8" s="481"/>
      <c r="AZ8" s="481"/>
      <c r="BA8" s="481"/>
      <c r="BB8" s="481"/>
      <c r="BC8" s="481"/>
      <c r="BD8" s="481"/>
      <c r="BE8" s="481"/>
      <c r="BF8" s="481"/>
      <c r="BG8" s="481"/>
      <c r="BH8" s="481"/>
      <c r="BI8" s="481"/>
      <c r="BJ8" s="481"/>
      <c r="BK8" s="482"/>
      <c r="BL8" s="481"/>
      <c r="BM8" s="481"/>
      <c r="BN8" s="481"/>
      <c r="BO8" s="481"/>
      <c r="BP8" s="481"/>
      <c r="BQ8" s="481"/>
      <c r="BR8" s="481"/>
      <c r="BS8" s="481"/>
      <c r="BT8" s="481"/>
      <c r="BU8" s="481"/>
      <c r="BV8" s="481"/>
      <c r="BW8" s="481"/>
      <c r="BX8" s="481"/>
      <c r="BY8" s="481"/>
      <c r="BZ8" s="481"/>
      <c r="CA8" s="482"/>
      <c r="CB8" s="481"/>
      <c r="CC8" s="481"/>
      <c r="CD8" s="481"/>
      <c r="CE8" s="481"/>
      <c r="CF8" s="481"/>
      <c r="CG8" s="481"/>
      <c r="CH8" s="481"/>
      <c r="CI8" s="481"/>
      <c r="CJ8" s="481"/>
      <c r="CK8" s="481"/>
      <c r="CL8" s="481"/>
      <c r="CM8" s="481"/>
      <c r="CN8" s="481"/>
      <c r="CO8" s="481"/>
      <c r="CP8" s="481"/>
      <c r="CQ8" s="481"/>
      <c r="CR8" s="481"/>
      <c r="CS8" s="481"/>
      <c r="CT8" s="481"/>
      <c r="CU8" s="481"/>
      <c r="CV8" s="481"/>
      <c r="CW8" s="481"/>
      <c r="CX8" s="481"/>
      <c r="CY8" s="483"/>
    </row>
    <row r="9" spans="1:103" ht="15" customHeight="1" x14ac:dyDescent="0.35">
      <c r="A9" s="889"/>
      <c r="B9" s="478" t="s">
        <v>439</v>
      </c>
      <c r="C9" s="479">
        <f t="shared" si="2"/>
        <v>0</v>
      </c>
      <c r="D9" s="484">
        <f>'Data entry'!H51</f>
        <v>0</v>
      </c>
      <c r="E9" s="485"/>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485"/>
      <c r="AJ9" s="485"/>
      <c r="AK9" s="485"/>
      <c r="AL9" s="485"/>
      <c r="AM9" s="485"/>
      <c r="AN9" s="485"/>
      <c r="AO9" s="486"/>
      <c r="AP9" s="485"/>
      <c r="AQ9" s="485"/>
      <c r="AR9" s="485"/>
      <c r="AS9" s="485"/>
      <c r="AT9" s="485"/>
      <c r="AU9" s="485"/>
      <c r="AV9" s="485"/>
      <c r="AW9" s="485"/>
      <c r="AX9" s="485"/>
      <c r="AY9" s="485"/>
      <c r="AZ9" s="485"/>
      <c r="BA9" s="485"/>
      <c r="BB9" s="485"/>
      <c r="BC9" s="485"/>
      <c r="BD9" s="485"/>
      <c r="BE9" s="485"/>
      <c r="BF9" s="485"/>
      <c r="BG9" s="485"/>
      <c r="BH9" s="485"/>
      <c r="BI9" s="485"/>
      <c r="BJ9" s="485"/>
      <c r="BK9" s="486"/>
      <c r="BL9" s="485"/>
      <c r="BM9" s="485"/>
      <c r="BN9" s="485"/>
      <c r="BO9" s="485"/>
      <c r="BP9" s="485"/>
      <c r="BQ9" s="485"/>
      <c r="BR9" s="485"/>
      <c r="BS9" s="485"/>
      <c r="BT9" s="485"/>
      <c r="BU9" s="485"/>
      <c r="BV9" s="485"/>
      <c r="BW9" s="485"/>
      <c r="BX9" s="485"/>
      <c r="BY9" s="485"/>
      <c r="BZ9" s="485"/>
      <c r="CA9" s="486"/>
      <c r="CB9" s="485"/>
      <c r="CC9" s="485"/>
      <c r="CD9" s="485"/>
      <c r="CE9" s="485"/>
      <c r="CF9" s="485"/>
      <c r="CG9" s="485"/>
      <c r="CH9" s="485"/>
      <c r="CI9" s="485"/>
      <c r="CJ9" s="485"/>
      <c r="CK9" s="485"/>
      <c r="CL9" s="485"/>
      <c r="CM9" s="485"/>
      <c r="CN9" s="485"/>
      <c r="CO9" s="485"/>
      <c r="CP9" s="485"/>
      <c r="CQ9" s="485"/>
      <c r="CR9" s="485"/>
      <c r="CS9" s="485"/>
      <c r="CT9" s="485"/>
      <c r="CU9" s="485"/>
      <c r="CV9" s="485"/>
      <c r="CW9" s="485"/>
      <c r="CX9" s="485"/>
      <c r="CY9" s="487"/>
    </row>
    <row r="10" spans="1:103" ht="15" customHeight="1" x14ac:dyDescent="0.35">
      <c r="A10" s="889"/>
      <c r="B10" s="478" t="s">
        <v>440</v>
      </c>
      <c r="C10" s="479">
        <f t="shared" si="2"/>
        <v>0</v>
      </c>
      <c r="D10" s="484">
        <f>'Data entry'!H52</f>
        <v>0</v>
      </c>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5"/>
      <c r="AI10" s="485"/>
      <c r="AJ10" s="485"/>
      <c r="AK10" s="485"/>
      <c r="AL10" s="485"/>
      <c r="AM10" s="485"/>
      <c r="AN10" s="485"/>
      <c r="AO10" s="488">
        <f>IF('Data entry'!B13&gt;35,'Data entry'!AA59,0)</f>
        <v>0</v>
      </c>
      <c r="AP10" s="481"/>
      <c r="AQ10" s="485"/>
      <c r="AR10" s="485"/>
      <c r="AS10" s="485"/>
      <c r="AT10" s="485"/>
      <c r="AU10" s="485"/>
      <c r="AV10" s="485"/>
      <c r="AW10" s="485"/>
      <c r="AX10" s="485"/>
      <c r="AY10" s="485"/>
      <c r="AZ10" s="485"/>
      <c r="BA10" s="485"/>
      <c r="BB10" s="485"/>
      <c r="BC10" s="485"/>
      <c r="BD10" s="485"/>
      <c r="BE10" s="485"/>
      <c r="BF10" s="485"/>
      <c r="BG10" s="485"/>
      <c r="BH10" s="485"/>
      <c r="BI10" s="485"/>
      <c r="BJ10" s="485"/>
      <c r="BK10" s="488">
        <f>IF(BK4&lt;'Data entry'!B13,'Data entry'!AA61,0)</f>
        <v>0</v>
      </c>
      <c r="BL10" s="481"/>
      <c r="BM10" s="485"/>
      <c r="BN10" s="485"/>
      <c r="BO10" s="485"/>
      <c r="BP10" s="485"/>
      <c r="BQ10" s="485"/>
      <c r="BR10" s="485"/>
      <c r="BS10" s="485"/>
      <c r="BT10" s="485"/>
      <c r="BU10" s="485"/>
      <c r="BV10" s="485"/>
      <c r="BW10" s="485"/>
      <c r="BX10" s="485"/>
      <c r="BY10" s="485"/>
      <c r="BZ10" s="485"/>
      <c r="CA10" s="488">
        <f>IF(CA4&lt;'Data entry'!B13-1,'Data entry'!AA59+'Data entry'!AA60,0)</f>
        <v>0</v>
      </c>
      <c r="CB10" s="481"/>
      <c r="CC10" s="485"/>
      <c r="CD10" s="485"/>
      <c r="CE10" s="485"/>
      <c r="CF10" s="485"/>
      <c r="CG10" s="485"/>
      <c r="CH10" s="485"/>
      <c r="CI10" s="485"/>
      <c r="CJ10" s="485"/>
      <c r="CK10" s="485"/>
      <c r="CL10" s="485"/>
      <c r="CM10" s="485"/>
      <c r="CN10" s="485"/>
      <c r="CO10" s="485"/>
      <c r="CP10" s="485"/>
      <c r="CQ10" s="485"/>
      <c r="CR10" s="485"/>
      <c r="CS10" s="485"/>
      <c r="CT10" s="485"/>
      <c r="CU10" s="485"/>
      <c r="CV10" s="485"/>
      <c r="CW10" s="485"/>
      <c r="CX10" s="485"/>
      <c r="CY10" s="487"/>
    </row>
    <row r="11" spans="1:103" ht="15" customHeight="1" x14ac:dyDescent="0.35">
      <c r="A11" s="889"/>
      <c r="B11" s="478" t="s">
        <v>441</v>
      </c>
      <c r="C11" s="479">
        <f t="shared" si="2"/>
        <v>0</v>
      </c>
      <c r="D11" s="484">
        <f>'Data entry'!H53</f>
        <v>0</v>
      </c>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H11" s="485"/>
      <c r="AI11" s="485"/>
      <c r="AJ11" s="485"/>
      <c r="AK11" s="485"/>
      <c r="AL11" s="485"/>
      <c r="AM11" s="485"/>
      <c r="AN11" s="485"/>
      <c r="AO11" s="486"/>
      <c r="AP11" s="485"/>
      <c r="AQ11" s="485"/>
      <c r="AR11" s="485"/>
      <c r="AS11" s="485"/>
      <c r="AT11" s="485"/>
      <c r="AU11" s="485"/>
      <c r="AV11" s="485"/>
      <c r="AW11" s="485"/>
      <c r="AX11" s="485"/>
      <c r="AY11" s="485"/>
      <c r="AZ11" s="485"/>
      <c r="BA11" s="485"/>
      <c r="BB11" s="485"/>
      <c r="BC11" s="485"/>
      <c r="BD11" s="485"/>
      <c r="BE11" s="485"/>
      <c r="BF11" s="485"/>
      <c r="BG11" s="485"/>
      <c r="BH11" s="485"/>
      <c r="BI11" s="485"/>
      <c r="BJ11" s="485"/>
      <c r="BK11" s="486"/>
      <c r="BL11" s="481"/>
      <c r="BM11" s="485"/>
      <c r="BN11" s="485"/>
      <c r="BO11" s="485"/>
      <c r="BP11" s="485"/>
      <c r="BQ11" s="485"/>
      <c r="BR11" s="485"/>
      <c r="BS11" s="485"/>
      <c r="BT11" s="485"/>
      <c r="BU11" s="485"/>
      <c r="BV11" s="485"/>
      <c r="BW11" s="485"/>
      <c r="BX11" s="485"/>
      <c r="BY11" s="485"/>
      <c r="BZ11" s="485"/>
      <c r="CA11" s="486"/>
      <c r="CB11" s="481"/>
      <c r="CC11" s="485"/>
      <c r="CD11" s="485"/>
      <c r="CE11" s="485"/>
      <c r="CF11" s="485"/>
      <c r="CG11" s="485"/>
      <c r="CH11" s="485"/>
      <c r="CI11" s="485"/>
      <c r="CJ11" s="485"/>
      <c r="CK11" s="485"/>
      <c r="CL11" s="485"/>
      <c r="CM11" s="485"/>
      <c r="CN11" s="485"/>
      <c r="CO11" s="485"/>
      <c r="CP11" s="485"/>
      <c r="CQ11" s="485"/>
      <c r="CR11" s="485"/>
      <c r="CS11" s="485"/>
      <c r="CT11" s="485"/>
      <c r="CU11" s="485"/>
      <c r="CV11" s="485"/>
      <c r="CW11" s="485"/>
      <c r="CX11" s="485"/>
      <c r="CY11" s="487"/>
    </row>
    <row r="12" spans="1:103" ht="15" customHeight="1" x14ac:dyDescent="0.35">
      <c r="A12" s="889"/>
      <c r="B12" s="478" t="s">
        <v>442</v>
      </c>
      <c r="C12" s="479">
        <f t="shared" si="2"/>
        <v>0</v>
      </c>
      <c r="D12" s="484">
        <f>'Data entry'!H55</f>
        <v>0</v>
      </c>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485"/>
      <c r="AK12" s="485"/>
      <c r="AL12" s="484">
        <f>IF(AL4&lt;'Data entry'!B13,'Data entry'!I55,0)</f>
        <v>0</v>
      </c>
      <c r="AM12" s="481"/>
      <c r="AN12" s="485"/>
      <c r="AO12" s="486"/>
      <c r="AP12" s="485"/>
      <c r="AQ12" s="485"/>
      <c r="AR12" s="485"/>
      <c r="AS12" s="485"/>
      <c r="AT12" s="485"/>
      <c r="AU12" s="485"/>
      <c r="AV12" s="485"/>
      <c r="AW12" s="485"/>
      <c r="AX12" s="485"/>
      <c r="AY12" s="485"/>
      <c r="AZ12" s="485"/>
      <c r="BA12" s="485"/>
      <c r="BB12" s="485"/>
      <c r="BC12" s="485"/>
      <c r="BD12" s="485"/>
      <c r="BE12" s="485"/>
      <c r="BF12" s="485"/>
      <c r="BG12" s="485"/>
      <c r="BH12" s="485"/>
      <c r="BI12" s="485"/>
      <c r="BJ12" s="485"/>
      <c r="BK12" s="486"/>
      <c r="BL12" s="481"/>
      <c r="BM12" s="485"/>
      <c r="BN12" s="485"/>
      <c r="BO12" s="485"/>
      <c r="BP12" s="485"/>
      <c r="BQ12" s="485"/>
      <c r="BR12" s="485"/>
      <c r="BS12" s="485"/>
      <c r="BT12" s="485"/>
      <c r="BU12" s="484">
        <f>IF(BU4&lt;'Data entry'!B13-1,'Data entry'!I55,0)</f>
        <v>0</v>
      </c>
      <c r="BV12" s="481"/>
      <c r="BW12" s="485"/>
      <c r="BX12" s="485"/>
      <c r="BY12" s="485"/>
      <c r="BZ12" s="485"/>
      <c r="CA12" s="486"/>
      <c r="CB12" s="481"/>
      <c r="CC12" s="485"/>
      <c r="CD12" s="485"/>
      <c r="CE12" s="485"/>
      <c r="CF12" s="485"/>
      <c r="CG12" s="485"/>
      <c r="CH12" s="485"/>
      <c r="CI12" s="485"/>
      <c r="CJ12" s="485"/>
      <c r="CK12" s="485"/>
      <c r="CL12" s="485"/>
      <c r="CM12" s="485"/>
      <c r="CN12" s="485"/>
      <c r="CO12" s="485"/>
      <c r="CP12" s="485"/>
      <c r="CQ12" s="485"/>
      <c r="CR12" s="485"/>
      <c r="CS12" s="485"/>
      <c r="CT12" s="485"/>
      <c r="CU12" s="485"/>
      <c r="CV12" s="485"/>
      <c r="CW12" s="485"/>
      <c r="CX12" s="485"/>
      <c r="CY12" s="487"/>
    </row>
    <row r="13" spans="1:103" ht="15" customHeight="1" x14ac:dyDescent="0.35">
      <c r="A13" s="889"/>
      <c r="B13" s="478" t="s">
        <v>268</v>
      </c>
      <c r="C13" s="479">
        <f t="shared" si="2"/>
        <v>0</v>
      </c>
      <c r="D13" s="484">
        <f>'Data entry'!H26</f>
        <v>0</v>
      </c>
      <c r="E13" s="485"/>
      <c r="F13" s="485"/>
      <c r="G13" s="485"/>
      <c r="H13" s="485"/>
      <c r="I13" s="485"/>
      <c r="J13" s="485"/>
      <c r="K13" s="485"/>
      <c r="L13" s="485"/>
      <c r="M13" s="485"/>
      <c r="N13" s="485"/>
      <c r="O13" s="485"/>
      <c r="P13" s="485"/>
      <c r="Q13" s="485"/>
      <c r="R13" s="485"/>
      <c r="S13" s="485"/>
      <c r="T13" s="485"/>
      <c r="U13" s="485"/>
      <c r="V13" s="485"/>
      <c r="W13" s="484">
        <f>'Data entry'!$I26</f>
        <v>0</v>
      </c>
      <c r="X13" s="481"/>
      <c r="Y13" s="485"/>
      <c r="Z13" s="485"/>
      <c r="AA13" s="485"/>
      <c r="AB13" s="485"/>
      <c r="AC13" s="485"/>
      <c r="AD13" s="485"/>
      <c r="AE13" s="485"/>
      <c r="AF13" s="485"/>
      <c r="AG13" s="485"/>
      <c r="AH13" s="485"/>
      <c r="AI13" s="485"/>
      <c r="AJ13" s="485"/>
      <c r="AK13" s="485"/>
      <c r="AL13" s="485"/>
      <c r="AM13" s="485"/>
      <c r="AN13" s="485"/>
      <c r="AO13" s="486"/>
      <c r="AP13" s="485"/>
      <c r="AQ13" s="484">
        <f>IF(AQ$4&lt;'Data entry'!$B$13,'Data entry'!$I26,0)</f>
        <v>0</v>
      </c>
      <c r="AR13" s="481"/>
      <c r="AS13" s="485"/>
      <c r="AT13" s="485"/>
      <c r="AU13" s="485"/>
      <c r="AV13" s="485"/>
      <c r="AW13" s="485"/>
      <c r="AX13" s="485"/>
      <c r="AY13" s="485"/>
      <c r="AZ13" s="485"/>
      <c r="BA13" s="485"/>
      <c r="BB13" s="485"/>
      <c r="BC13" s="485"/>
      <c r="BD13" s="485"/>
      <c r="BE13" s="485"/>
      <c r="BF13" s="485"/>
      <c r="BG13" s="485"/>
      <c r="BH13" s="485"/>
      <c r="BI13" s="485"/>
      <c r="BJ13" s="485"/>
      <c r="BK13" s="488">
        <f>IF(BK$4&lt;'Data entry'!$B$13,'Data entry'!$I26,0)</f>
        <v>0</v>
      </c>
      <c r="BL13" s="481"/>
      <c r="BM13" s="485"/>
      <c r="BN13" s="485"/>
      <c r="BO13" s="485"/>
      <c r="BP13" s="485"/>
      <c r="BQ13" s="485"/>
      <c r="BR13" s="485"/>
      <c r="BS13" s="485"/>
      <c r="BT13" s="485"/>
      <c r="BU13" s="485"/>
      <c r="BV13" s="485"/>
      <c r="BW13" s="485"/>
      <c r="BX13" s="485"/>
      <c r="BY13" s="485"/>
      <c r="BZ13" s="485"/>
      <c r="CA13" s="486"/>
      <c r="CB13" s="481"/>
      <c r="CC13" s="485"/>
      <c r="CD13" s="485"/>
      <c r="CE13" s="484">
        <f>IF(CE$4&lt;'Data entry'!$B$13,'Data entry'!$I26,0)</f>
        <v>0</v>
      </c>
      <c r="CF13" s="481"/>
      <c r="CG13" s="485"/>
      <c r="CH13" s="485"/>
      <c r="CI13" s="485"/>
      <c r="CJ13" s="485"/>
      <c r="CK13" s="485"/>
      <c r="CL13" s="485"/>
      <c r="CM13" s="485"/>
      <c r="CN13" s="485"/>
      <c r="CO13" s="485"/>
      <c r="CP13" s="485"/>
      <c r="CQ13" s="485"/>
      <c r="CR13" s="485"/>
      <c r="CS13" s="485"/>
      <c r="CT13" s="485"/>
      <c r="CU13" s="485"/>
      <c r="CV13" s="485"/>
      <c r="CW13" s="485"/>
      <c r="CX13" s="485"/>
      <c r="CY13" s="487"/>
    </row>
    <row r="14" spans="1:103" ht="15" customHeight="1" x14ac:dyDescent="0.35">
      <c r="A14" s="889"/>
      <c r="B14" s="478" t="s">
        <v>269</v>
      </c>
      <c r="C14" s="479">
        <f t="shared" si="2"/>
        <v>0</v>
      </c>
      <c r="D14" s="484">
        <f>'Data entry'!H27</f>
        <v>0</v>
      </c>
      <c r="E14" s="485"/>
      <c r="F14" s="485"/>
      <c r="G14" s="485"/>
      <c r="H14" s="485"/>
      <c r="I14" s="485"/>
      <c r="J14" s="485"/>
      <c r="K14" s="485"/>
      <c r="L14" s="485"/>
      <c r="M14" s="485"/>
      <c r="N14" s="485"/>
      <c r="O14" s="485"/>
      <c r="P14" s="485"/>
      <c r="Q14" s="485"/>
      <c r="R14" s="485"/>
      <c r="S14" s="485"/>
      <c r="T14" s="485"/>
      <c r="U14" s="485"/>
      <c r="V14" s="485"/>
      <c r="W14" s="484">
        <f>'Data entry'!$I27</f>
        <v>0</v>
      </c>
      <c r="X14" s="481"/>
      <c r="Y14" s="485"/>
      <c r="Z14" s="485"/>
      <c r="AA14" s="485"/>
      <c r="AB14" s="485"/>
      <c r="AC14" s="485"/>
      <c r="AD14" s="485"/>
      <c r="AE14" s="485"/>
      <c r="AF14" s="485"/>
      <c r="AG14" s="485"/>
      <c r="AH14" s="485"/>
      <c r="AI14" s="485"/>
      <c r="AJ14" s="485"/>
      <c r="AK14" s="485"/>
      <c r="AL14" s="485"/>
      <c r="AM14" s="485"/>
      <c r="AN14" s="485"/>
      <c r="AO14" s="486"/>
      <c r="AP14" s="485"/>
      <c r="AQ14" s="484">
        <f>IF(AQ$4&lt;'Data entry'!$B$13,'Data entry'!$I27,0)</f>
        <v>0</v>
      </c>
      <c r="AR14" s="481"/>
      <c r="AS14" s="485"/>
      <c r="AT14" s="485"/>
      <c r="AU14" s="485"/>
      <c r="AV14" s="485"/>
      <c r="AW14" s="485"/>
      <c r="AX14" s="485"/>
      <c r="AY14" s="485"/>
      <c r="AZ14" s="485"/>
      <c r="BA14" s="485"/>
      <c r="BB14" s="485"/>
      <c r="BC14" s="485"/>
      <c r="BD14" s="485"/>
      <c r="BE14" s="485"/>
      <c r="BF14" s="485"/>
      <c r="BG14" s="485"/>
      <c r="BH14" s="485"/>
      <c r="BI14" s="485"/>
      <c r="BJ14" s="485"/>
      <c r="BK14" s="488">
        <f>IF(BK$4&lt;'Data entry'!$B$13,'Data entry'!$I27,0)</f>
        <v>0</v>
      </c>
      <c r="BL14" s="481"/>
      <c r="BM14" s="485"/>
      <c r="BN14" s="485"/>
      <c r="BO14" s="485"/>
      <c r="BP14" s="485"/>
      <c r="BQ14" s="485"/>
      <c r="BR14" s="485"/>
      <c r="BS14" s="485"/>
      <c r="BT14" s="485"/>
      <c r="BU14" s="485"/>
      <c r="BV14" s="485"/>
      <c r="BW14" s="485"/>
      <c r="BX14" s="485"/>
      <c r="BY14" s="485"/>
      <c r="BZ14" s="485"/>
      <c r="CA14" s="486"/>
      <c r="CB14" s="481"/>
      <c r="CC14" s="485"/>
      <c r="CD14" s="485"/>
      <c r="CE14" s="484">
        <f>IF(CE$4&lt;'Data entry'!$B$13,'Data entry'!$I27,0)</f>
        <v>0</v>
      </c>
      <c r="CF14" s="481"/>
      <c r="CG14" s="485"/>
      <c r="CH14" s="485"/>
      <c r="CI14" s="485"/>
      <c r="CJ14" s="485"/>
      <c r="CK14" s="485"/>
      <c r="CL14" s="485"/>
      <c r="CM14" s="485"/>
      <c r="CN14" s="485"/>
      <c r="CO14" s="485"/>
      <c r="CP14" s="485"/>
      <c r="CQ14" s="485"/>
      <c r="CR14" s="485"/>
      <c r="CS14" s="485"/>
      <c r="CT14" s="485"/>
      <c r="CU14" s="485"/>
      <c r="CV14" s="485"/>
      <c r="CW14" s="485"/>
      <c r="CX14" s="485"/>
      <c r="CY14" s="487"/>
    </row>
    <row r="15" spans="1:103" ht="15" customHeight="1" x14ac:dyDescent="0.35">
      <c r="A15" s="889"/>
      <c r="B15" s="478" t="s">
        <v>202</v>
      </c>
      <c r="C15" s="479">
        <f t="shared" si="2"/>
        <v>0</v>
      </c>
      <c r="D15" s="484">
        <f>'Data entry'!H28</f>
        <v>0</v>
      </c>
      <c r="E15" s="485"/>
      <c r="F15" s="485"/>
      <c r="G15" s="485"/>
      <c r="H15" s="485"/>
      <c r="I15" s="485"/>
      <c r="J15" s="485"/>
      <c r="K15" s="485"/>
      <c r="L15" s="485"/>
      <c r="M15" s="485"/>
      <c r="N15" s="485"/>
      <c r="O15" s="485"/>
      <c r="P15" s="485"/>
      <c r="Q15" s="485"/>
      <c r="R15" s="485"/>
      <c r="S15" s="485"/>
      <c r="T15" s="485"/>
      <c r="U15" s="485"/>
      <c r="V15" s="485"/>
      <c r="W15" s="485"/>
      <c r="X15" s="481"/>
      <c r="Y15" s="485"/>
      <c r="Z15" s="485"/>
      <c r="AA15" s="485"/>
      <c r="AB15" s="485"/>
      <c r="AC15" s="485"/>
      <c r="AD15" s="485"/>
      <c r="AE15" s="485"/>
      <c r="AF15" s="485"/>
      <c r="AG15" s="485"/>
      <c r="AH15" s="485"/>
      <c r="AI15" s="485"/>
      <c r="AJ15" s="485"/>
      <c r="AK15" s="485"/>
      <c r="AL15" s="485"/>
      <c r="AM15" s="485"/>
      <c r="AN15" s="485"/>
      <c r="AO15" s="486"/>
      <c r="AP15" s="485"/>
      <c r="AQ15" s="484">
        <f>IF(AQ$4&lt;'Data entry'!$B$13,'Data entry'!$I28,0)</f>
        <v>0</v>
      </c>
      <c r="AR15" s="481"/>
      <c r="AS15" s="485"/>
      <c r="AT15" s="485"/>
      <c r="AU15" s="485"/>
      <c r="AV15" s="485"/>
      <c r="AW15" s="485"/>
      <c r="AX15" s="485"/>
      <c r="AY15" s="485"/>
      <c r="AZ15" s="485"/>
      <c r="BA15" s="485"/>
      <c r="BB15" s="485"/>
      <c r="BC15" s="485"/>
      <c r="BD15" s="485"/>
      <c r="BE15" s="485"/>
      <c r="BF15" s="485"/>
      <c r="BG15" s="485"/>
      <c r="BH15" s="485"/>
      <c r="BI15" s="485"/>
      <c r="BJ15" s="485"/>
      <c r="BK15" s="488">
        <f>IF(BK$4&lt;'Data entry'!$B$13,'Data entry'!$I28,0)</f>
        <v>0</v>
      </c>
      <c r="BL15" s="481"/>
      <c r="BM15" s="485"/>
      <c r="BN15" s="485"/>
      <c r="BO15" s="485"/>
      <c r="BP15" s="485"/>
      <c r="BQ15" s="485"/>
      <c r="BR15" s="485"/>
      <c r="BS15" s="485"/>
      <c r="BT15" s="485"/>
      <c r="BU15" s="485"/>
      <c r="BV15" s="485"/>
      <c r="BW15" s="485"/>
      <c r="BX15" s="485"/>
      <c r="BY15" s="485"/>
      <c r="BZ15" s="485"/>
      <c r="CA15" s="486"/>
      <c r="CB15" s="481"/>
      <c r="CC15" s="485"/>
      <c r="CD15" s="485"/>
      <c r="CE15" s="484">
        <f>IF(CE$4&lt;'Data entry'!$B$13,'Data entry'!$I28,0)</f>
        <v>0</v>
      </c>
      <c r="CF15" s="481"/>
      <c r="CG15" s="485"/>
      <c r="CH15" s="485"/>
      <c r="CI15" s="485"/>
      <c r="CJ15" s="485"/>
      <c r="CK15" s="485"/>
      <c r="CL15" s="485"/>
      <c r="CM15" s="485"/>
      <c r="CN15" s="485"/>
      <c r="CO15" s="485"/>
      <c r="CP15" s="485"/>
      <c r="CQ15" s="485"/>
      <c r="CR15" s="485"/>
      <c r="CS15" s="485"/>
      <c r="CT15" s="485"/>
      <c r="CU15" s="485"/>
      <c r="CV15" s="485"/>
      <c r="CW15" s="485"/>
      <c r="CX15" s="485"/>
      <c r="CY15" s="487"/>
    </row>
    <row r="16" spans="1:103" ht="15" customHeight="1" x14ac:dyDescent="0.35">
      <c r="A16" s="889"/>
      <c r="B16" s="478" t="s">
        <v>66</v>
      </c>
      <c r="C16" s="479">
        <f t="shared" si="2"/>
        <v>0</v>
      </c>
      <c r="D16" s="484">
        <f>'Data entry'!H29</f>
        <v>0</v>
      </c>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C16" s="485"/>
      <c r="AD16" s="485"/>
      <c r="AE16" s="485"/>
      <c r="AF16" s="485"/>
      <c r="AG16" s="485"/>
      <c r="AH16" s="485"/>
      <c r="AI16" s="485"/>
      <c r="AJ16" s="485"/>
      <c r="AK16" s="485"/>
      <c r="AL16" s="485"/>
      <c r="AM16" s="485"/>
      <c r="AN16" s="485"/>
      <c r="AO16" s="486"/>
      <c r="AP16" s="485"/>
      <c r="AQ16" s="485"/>
      <c r="AR16" s="485"/>
      <c r="AS16" s="485"/>
      <c r="AT16" s="485"/>
      <c r="AU16" s="485"/>
      <c r="AV16" s="485"/>
      <c r="AW16" s="485"/>
      <c r="AX16" s="485"/>
      <c r="AY16" s="485"/>
      <c r="AZ16" s="485"/>
      <c r="BA16" s="485"/>
      <c r="BB16" s="485"/>
      <c r="BC16" s="485"/>
      <c r="BD16" s="485"/>
      <c r="BE16" s="485"/>
      <c r="BF16" s="485"/>
      <c r="BG16" s="485"/>
      <c r="BH16" s="485"/>
      <c r="BI16" s="485"/>
      <c r="BJ16" s="485"/>
      <c r="BK16" s="489"/>
      <c r="BL16" s="481"/>
      <c r="BM16" s="485"/>
      <c r="BN16" s="485"/>
      <c r="BO16" s="485"/>
      <c r="BP16" s="485"/>
      <c r="BQ16" s="485"/>
      <c r="BR16" s="485"/>
      <c r="BS16" s="485"/>
      <c r="BT16" s="485"/>
      <c r="BU16" s="485"/>
      <c r="BV16" s="485"/>
      <c r="BW16" s="485"/>
      <c r="BX16" s="485"/>
      <c r="BY16" s="485"/>
      <c r="BZ16" s="485"/>
      <c r="CA16" s="486"/>
      <c r="CB16" s="481"/>
      <c r="CC16" s="485"/>
      <c r="CD16" s="485"/>
      <c r="CE16" s="490"/>
      <c r="CF16" s="481"/>
      <c r="CG16" s="485"/>
      <c r="CH16" s="485"/>
      <c r="CI16" s="485"/>
      <c r="CJ16" s="485"/>
      <c r="CK16" s="485"/>
      <c r="CL16" s="485"/>
      <c r="CM16" s="485"/>
      <c r="CN16" s="485"/>
      <c r="CO16" s="485"/>
      <c r="CP16" s="485"/>
      <c r="CQ16" s="485"/>
      <c r="CR16" s="485"/>
      <c r="CS16" s="485"/>
      <c r="CT16" s="485"/>
      <c r="CU16" s="485"/>
      <c r="CV16" s="485"/>
      <c r="CW16" s="485"/>
      <c r="CX16" s="485"/>
      <c r="CY16" s="487"/>
    </row>
    <row r="17" spans="1:103" ht="15" customHeight="1" x14ac:dyDescent="0.35">
      <c r="A17" s="889"/>
      <c r="B17" s="478" t="s">
        <v>392</v>
      </c>
      <c r="C17" s="479">
        <f t="shared" si="2"/>
        <v>0</v>
      </c>
      <c r="D17" s="484">
        <f>'Data entry'!H31</f>
        <v>0</v>
      </c>
      <c r="E17" s="485"/>
      <c r="F17" s="485"/>
      <c r="G17" s="485"/>
      <c r="H17" s="485"/>
      <c r="I17" s="485"/>
      <c r="J17" s="485"/>
      <c r="K17" s="485"/>
      <c r="L17" s="485"/>
      <c r="M17" s="485"/>
      <c r="N17" s="485"/>
      <c r="O17" s="485"/>
      <c r="P17" s="485"/>
      <c r="Q17" s="485"/>
      <c r="R17" s="485"/>
      <c r="S17" s="485"/>
      <c r="T17" s="485"/>
      <c r="U17" s="485"/>
      <c r="V17" s="485"/>
      <c r="W17" s="484">
        <f>'Data entry'!$I31</f>
        <v>0</v>
      </c>
      <c r="X17" s="481"/>
      <c r="Y17" s="485"/>
      <c r="Z17" s="485"/>
      <c r="AA17" s="485"/>
      <c r="AB17" s="485"/>
      <c r="AC17" s="485"/>
      <c r="AD17" s="485"/>
      <c r="AE17" s="485"/>
      <c r="AF17" s="485"/>
      <c r="AG17" s="485"/>
      <c r="AH17" s="485"/>
      <c r="AI17" s="485"/>
      <c r="AJ17" s="485"/>
      <c r="AK17" s="485"/>
      <c r="AL17" s="485"/>
      <c r="AM17" s="485"/>
      <c r="AN17" s="485"/>
      <c r="AO17" s="486"/>
      <c r="AP17" s="485"/>
      <c r="AQ17" s="484">
        <f>IF(AQ$4&lt;'Data entry'!$B$13,'Data entry'!$I31,0)</f>
        <v>0</v>
      </c>
      <c r="AR17" s="481"/>
      <c r="AS17" s="485"/>
      <c r="AT17" s="485"/>
      <c r="AU17" s="485"/>
      <c r="AV17" s="485"/>
      <c r="AW17" s="485"/>
      <c r="AX17" s="485"/>
      <c r="AY17" s="485"/>
      <c r="AZ17" s="485"/>
      <c r="BA17" s="485"/>
      <c r="BB17" s="485"/>
      <c r="BC17" s="485"/>
      <c r="BD17" s="485"/>
      <c r="BE17" s="485"/>
      <c r="BF17" s="485"/>
      <c r="BG17" s="485"/>
      <c r="BH17" s="485"/>
      <c r="BI17" s="485"/>
      <c r="BJ17" s="485"/>
      <c r="BK17" s="488">
        <f>IF(BK$4&lt;'Data entry'!$B$13,'Data entry'!$I31,0)</f>
        <v>0</v>
      </c>
      <c r="BL17" s="481"/>
      <c r="BM17" s="485"/>
      <c r="BN17" s="485"/>
      <c r="BO17" s="485"/>
      <c r="BP17" s="485"/>
      <c r="BQ17" s="485"/>
      <c r="BR17" s="485"/>
      <c r="BS17" s="485"/>
      <c r="BT17" s="485"/>
      <c r="BU17" s="485"/>
      <c r="BV17" s="485"/>
      <c r="BW17" s="485"/>
      <c r="BX17" s="485"/>
      <c r="BY17" s="485"/>
      <c r="BZ17" s="485"/>
      <c r="CA17" s="486"/>
      <c r="CB17" s="481"/>
      <c r="CC17" s="485"/>
      <c r="CD17" s="485"/>
      <c r="CE17" s="484">
        <f>IF(CE$4&lt;'Data entry'!$B$13,'Data entry'!$I31,0)</f>
        <v>0</v>
      </c>
      <c r="CF17" s="481"/>
      <c r="CG17" s="485"/>
      <c r="CH17" s="485"/>
      <c r="CI17" s="485"/>
      <c r="CJ17" s="485"/>
      <c r="CK17" s="485"/>
      <c r="CL17" s="485"/>
      <c r="CM17" s="485"/>
      <c r="CN17" s="485"/>
      <c r="CO17" s="485"/>
      <c r="CP17" s="485"/>
      <c r="CQ17" s="485"/>
      <c r="CR17" s="485"/>
      <c r="CS17" s="485"/>
      <c r="CT17" s="485"/>
      <c r="CU17" s="485"/>
      <c r="CV17" s="485"/>
      <c r="CW17" s="485"/>
      <c r="CX17" s="485"/>
      <c r="CY17" s="487"/>
    </row>
    <row r="18" spans="1:103" ht="15" customHeight="1" x14ac:dyDescent="0.35">
      <c r="A18" s="889"/>
      <c r="B18" s="478" t="s">
        <v>443</v>
      </c>
      <c r="C18" s="479">
        <f t="shared" si="2"/>
        <v>0</v>
      </c>
      <c r="D18" s="485"/>
      <c r="E18" s="485"/>
      <c r="F18" s="485"/>
      <c r="G18" s="485"/>
      <c r="H18" s="485"/>
      <c r="I18" s="485"/>
      <c r="J18" s="485"/>
      <c r="K18" s="485"/>
      <c r="L18" s="485"/>
      <c r="M18" s="485"/>
      <c r="N18" s="485"/>
      <c r="O18" s="485"/>
      <c r="P18" s="485"/>
      <c r="Q18" s="485"/>
      <c r="R18" s="484">
        <f>'Data entry'!H32</f>
        <v>0</v>
      </c>
      <c r="S18" s="481"/>
      <c r="T18" s="485"/>
      <c r="U18" s="485"/>
      <c r="V18" s="485"/>
      <c r="W18" s="485"/>
      <c r="X18" s="481"/>
      <c r="Y18" s="485"/>
      <c r="Z18" s="485"/>
      <c r="AA18" s="485"/>
      <c r="AB18" s="485"/>
      <c r="AC18" s="485"/>
      <c r="AD18" s="485"/>
      <c r="AE18" s="485"/>
      <c r="AF18" s="485"/>
      <c r="AG18" s="485"/>
      <c r="AH18" s="485"/>
      <c r="AI18" s="485"/>
      <c r="AJ18" s="485"/>
      <c r="AK18" s="485"/>
      <c r="AL18" s="485"/>
      <c r="AM18" s="485"/>
      <c r="AN18" s="485"/>
      <c r="AO18" s="486"/>
      <c r="AP18" s="485"/>
      <c r="AQ18" s="484">
        <f>IF(AQ$4&lt;'Data entry'!$B$13,'Data entry'!$I32,0)</f>
        <v>0</v>
      </c>
      <c r="AR18" s="481"/>
      <c r="AS18" s="485"/>
      <c r="AT18" s="485"/>
      <c r="AU18" s="485"/>
      <c r="AV18" s="485"/>
      <c r="AW18" s="485"/>
      <c r="AX18" s="485"/>
      <c r="AY18" s="485"/>
      <c r="AZ18" s="485"/>
      <c r="BA18" s="485"/>
      <c r="BB18" s="485"/>
      <c r="BC18" s="485"/>
      <c r="BD18" s="485"/>
      <c r="BE18" s="485"/>
      <c r="BF18" s="485"/>
      <c r="BG18" s="485"/>
      <c r="BH18" s="485"/>
      <c r="BI18" s="485"/>
      <c r="BJ18" s="485"/>
      <c r="BK18" s="488">
        <f>IF(BK$4&lt;'Data entry'!$B$13,'Data entry'!$I32,0)</f>
        <v>0</v>
      </c>
      <c r="BL18" s="481"/>
      <c r="BM18" s="485"/>
      <c r="BN18" s="485"/>
      <c r="BO18" s="485"/>
      <c r="BP18" s="485"/>
      <c r="BQ18" s="485"/>
      <c r="BR18" s="485"/>
      <c r="BS18" s="485"/>
      <c r="BT18" s="485"/>
      <c r="BU18" s="485"/>
      <c r="BV18" s="485"/>
      <c r="BW18" s="485"/>
      <c r="BX18" s="485"/>
      <c r="BY18" s="485"/>
      <c r="BZ18" s="485"/>
      <c r="CA18" s="486"/>
      <c r="CB18" s="481"/>
      <c r="CC18" s="485"/>
      <c r="CD18" s="485"/>
      <c r="CE18" s="484">
        <f>IF(CE$4&lt;'Data entry'!$B$13,'Data entry'!$I32,0)</f>
        <v>0</v>
      </c>
      <c r="CF18" s="481"/>
      <c r="CG18" s="485"/>
      <c r="CH18" s="485"/>
      <c r="CI18" s="485"/>
      <c r="CJ18" s="485"/>
      <c r="CK18" s="485"/>
      <c r="CL18" s="485"/>
      <c r="CM18" s="485"/>
      <c r="CN18" s="485"/>
      <c r="CO18" s="485"/>
      <c r="CP18" s="485"/>
      <c r="CQ18" s="485"/>
      <c r="CR18" s="485"/>
      <c r="CS18" s="485"/>
      <c r="CT18" s="485"/>
      <c r="CU18" s="485"/>
      <c r="CV18" s="485"/>
      <c r="CW18" s="485"/>
      <c r="CX18" s="485"/>
      <c r="CY18" s="487"/>
    </row>
    <row r="19" spans="1:103" ht="15" customHeight="1" x14ac:dyDescent="0.35">
      <c r="A19" s="889"/>
      <c r="B19" s="478" t="s">
        <v>176</v>
      </c>
      <c r="C19" s="479">
        <f t="shared" si="2"/>
        <v>0</v>
      </c>
      <c r="D19" s="484">
        <f>SUM('Data entry'!H34:H35)</f>
        <v>0</v>
      </c>
      <c r="E19" s="485"/>
      <c r="F19" s="485"/>
      <c r="G19" s="485"/>
      <c r="H19" s="485"/>
      <c r="I19" s="485"/>
      <c r="J19" s="485"/>
      <c r="K19" s="485"/>
      <c r="L19" s="485"/>
      <c r="M19" s="485"/>
      <c r="N19" s="485"/>
      <c r="O19" s="485"/>
      <c r="P19" s="485"/>
      <c r="Q19" s="485"/>
      <c r="R19" s="485"/>
      <c r="S19" s="485"/>
      <c r="T19" s="485"/>
      <c r="U19" s="485"/>
      <c r="V19" s="485"/>
      <c r="W19" s="484">
        <f>'Data entry'!$B$34*'Cost data'!$C$45+'Data entry'!$B$35*'Cost data'!$C$46</f>
        <v>0</v>
      </c>
      <c r="X19" s="485"/>
      <c r="Y19" s="485"/>
      <c r="Z19" s="485"/>
      <c r="AA19" s="485"/>
      <c r="AB19" s="485"/>
      <c r="AC19" s="485"/>
      <c r="AD19" s="485"/>
      <c r="AE19" s="485"/>
      <c r="AF19" s="485"/>
      <c r="AG19" s="485"/>
      <c r="AH19" s="485"/>
      <c r="AI19" s="485"/>
      <c r="AJ19" s="485"/>
      <c r="AK19" s="485"/>
      <c r="AL19" s="485"/>
      <c r="AM19" s="485"/>
      <c r="AN19" s="485"/>
      <c r="AO19" s="486"/>
      <c r="AP19" s="485"/>
      <c r="AQ19" s="484">
        <f>IF(AQ$4&lt;'Data entry'!$B$13,'Data entry'!I34+'Data entry'!I35,0)</f>
        <v>0</v>
      </c>
      <c r="AR19" s="485"/>
      <c r="AS19" s="485"/>
      <c r="AT19" s="485"/>
      <c r="AU19" s="485"/>
      <c r="AV19" s="485"/>
      <c r="AW19" s="485"/>
      <c r="AX19" s="485"/>
      <c r="AY19" s="485"/>
      <c r="AZ19" s="485"/>
      <c r="BA19" s="485"/>
      <c r="BB19" s="485"/>
      <c r="BC19" s="485"/>
      <c r="BD19" s="485"/>
      <c r="BE19" s="485"/>
      <c r="BF19" s="485"/>
      <c r="BG19" s="485"/>
      <c r="BH19" s="485"/>
      <c r="BI19" s="485"/>
      <c r="BJ19" s="485"/>
      <c r="BK19" s="488">
        <f>IF(BK$4&lt;'Data entry'!$B$13,'Data entry'!I34+'Data entry'!I35,0)</f>
        <v>0</v>
      </c>
      <c r="BL19" s="481"/>
      <c r="BM19" s="485"/>
      <c r="BN19" s="485"/>
      <c r="BO19" s="485"/>
      <c r="BP19" s="485"/>
      <c r="BQ19" s="485"/>
      <c r="BR19" s="485"/>
      <c r="BS19" s="485"/>
      <c r="BT19" s="485"/>
      <c r="BU19" s="485"/>
      <c r="BV19" s="485"/>
      <c r="BW19" s="485"/>
      <c r="BX19" s="485"/>
      <c r="BY19" s="485"/>
      <c r="BZ19" s="485"/>
      <c r="CA19" s="486"/>
      <c r="CB19" s="481"/>
      <c r="CC19" s="485"/>
      <c r="CD19" s="485"/>
      <c r="CE19" s="484">
        <f>IF(CE$4&lt;'Data entry'!$B$13,'Data entry'!I34+'Data entry'!I35,0)</f>
        <v>0</v>
      </c>
      <c r="CF19" s="485"/>
      <c r="CG19" s="485"/>
      <c r="CH19" s="485"/>
      <c r="CI19" s="485"/>
      <c r="CJ19" s="485"/>
      <c r="CK19" s="485"/>
      <c r="CL19" s="485"/>
      <c r="CM19" s="485"/>
      <c r="CN19" s="485"/>
      <c r="CO19" s="485"/>
      <c r="CP19" s="485"/>
      <c r="CQ19" s="485"/>
      <c r="CR19" s="485"/>
      <c r="CS19" s="485"/>
      <c r="CT19" s="485"/>
      <c r="CU19" s="485"/>
      <c r="CV19" s="485"/>
      <c r="CW19" s="485"/>
      <c r="CX19" s="485"/>
      <c r="CY19" s="487"/>
    </row>
    <row r="20" spans="1:103" ht="15" customHeight="1" x14ac:dyDescent="0.35">
      <c r="A20" s="889"/>
      <c r="B20" s="478" t="s">
        <v>444</v>
      </c>
      <c r="C20" s="479">
        <f t="shared" si="2"/>
        <v>0</v>
      </c>
      <c r="D20" s="484">
        <f>'Data entry'!N64</f>
        <v>0</v>
      </c>
      <c r="E20" s="485"/>
      <c r="F20" s="485"/>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5"/>
      <c r="AO20" s="488">
        <f>IF('Data entry'!B13&gt;35,'Data entry'!N59,0)</f>
        <v>0</v>
      </c>
      <c r="AP20" s="481"/>
      <c r="AQ20" s="485"/>
      <c r="AR20" s="485"/>
      <c r="AS20" s="485"/>
      <c r="AT20" s="485"/>
      <c r="AU20" s="485"/>
      <c r="AV20" s="485"/>
      <c r="AW20" s="485"/>
      <c r="AX20" s="485"/>
      <c r="AY20" s="485"/>
      <c r="AZ20" s="485"/>
      <c r="BA20" s="485"/>
      <c r="BB20" s="485"/>
      <c r="BC20" s="485"/>
      <c r="BD20" s="485"/>
      <c r="BE20" s="485"/>
      <c r="BF20" s="485"/>
      <c r="BG20" s="485"/>
      <c r="BH20" s="485"/>
      <c r="BI20" s="485"/>
      <c r="BJ20" s="485"/>
      <c r="BK20" s="488">
        <f>IF(BK$4&lt;'Data entry'!$B$13,'Data entry'!N61,0)</f>
        <v>0</v>
      </c>
      <c r="BL20" s="481"/>
      <c r="BM20" s="485"/>
      <c r="BN20" s="485"/>
      <c r="BO20" s="485"/>
      <c r="BP20" s="485"/>
      <c r="BQ20" s="485"/>
      <c r="BR20" s="485"/>
      <c r="BS20" s="485"/>
      <c r="BT20" s="485"/>
      <c r="BU20" s="485"/>
      <c r="BV20" s="485"/>
      <c r="BW20" s="485"/>
      <c r="BX20" s="485"/>
      <c r="BY20" s="485"/>
      <c r="BZ20" s="485"/>
      <c r="CA20" s="488">
        <f>IF(CA$4&lt;'Data entry'!$B$13-1,'Data entry'!N59+'Data entry'!N60,0)</f>
        <v>0</v>
      </c>
      <c r="CB20" s="481"/>
      <c r="CC20" s="485"/>
      <c r="CD20" s="485"/>
      <c r="CE20" s="485"/>
      <c r="CF20" s="485"/>
      <c r="CG20" s="485"/>
      <c r="CH20" s="485"/>
      <c r="CI20" s="485"/>
      <c r="CJ20" s="485"/>
      <c r="CK20" s="485"/>
      <c r="CL20" s="485"/>
      <c r="CM20" s="485"/>
      <c r="CN20" s="485"/>
      <c r="CO20" s="485"/>
      <c r="CP20" s="485"/>
      <c r="CQ20" s="485"/>
      <c r="CR20" s="485"/>
      <c r="CS20" s="485"/>
      <c r="CT20" s="485"/>
      <c r="CU20" s="485"/>
      <c r="CV20" s="485"/>
      <c r="CW20" s="485"/>
      <c r="CX20" s="485"/>
      <c r="CY20" s="487"/>
    </row>
    <row r="21" spans="1:103" ht="15" customHeight="1" x14ac:dyDescent="0.35">
      <c r="A21" s="889"/>
      <c r="B21" s="478" t="s">
        <v>445</v>
      </c>
      <c r="C21" s="479">
        <f t="shared" si="2"/>
        <v>0</v>
      </c>
      <c r="D21" s="484">
        <f>'Data entry'!N68</f>
        <v>0</v>
      </c>
      <c r="E21" s="485"/>
      <c r="F21" s="485"/>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85"/>
      <c r="AM21" s="485"/>
      <c r="AN21" s="485"/>
      <c r="AO21" s="486"/>
      <c r="AP21" s="481"/>
      <c r="AQ21" s="485"/>
      <c r="AR21" s="485"/>
      <c r="AS21" s="485"/>
      <c r="AT21" s="485"/>
      <c r="AU21" s="485"/>
      <c r="AV21" s="485"/>
      <c r="AW21" s="485"/>
      <c r="AX21" s="485"/>
      <c r="AY21" s="485"/>
      <c r="AZ21" s="485"/>
      <c r="BA21" s="485"/>
      <c r="BB21" s="485"/>
      <c r="BC21" s="485"/>
      <c r="BD21" s="485"/>
      <c r="BE21" s="485"/>
      <c r="BF21" s="485"/>
      <c r="BG21" s="485"/>
      <c r="BH21" s="485"/>
      <c r="BI21" s="485"/>
      <c r="BJ21" s="485"/>
      <c r="BK21" s="486"/>
      <c r="BL21" s="481"/>
      <c r="BM21" s="485"/>
      <c r="BN21" s="485"/>
      <c r="BO21" s="485"/>
      <c r="BP21" s="485"/>
      <c r="BQ21" s="485"/>
      <c r="BR21" s="485"/>
      <c r="BS21" s="485"/>
      <c r="BT21" s="485"/>
      <c r="BU21" s="485"/>
      <c r="BV21" s="485"/>
      <c r="BW21" s="485"/>
      <c r="BX21" s="485"/>
      <c r="BY21" s="485"/>
      <c r="BZ21" s="485"/>
      <c r="CA21" s="486"/>
      <c r="CB21" s="481"/>
      <c r="CC21" s="485"/>
      <c r="CD21" s="485"/>
      <c r="CE21" s="485"/>
      <c r="CF21" s="485"/>
      <c r="CG21" s="485"/>
      <c r="CH21" s="485"/>
      <c r="CI21" s="485"/>
      <c r="CJ21" s="485"/>
      <c r="CK21" s="485"/>
      <c r="CL21" s="485"/>
      <c r="CM21" s="485"/>
      <c r="CN21" s="485"/>
      <c r="CO21" s="485"/>
      <c r="CP21" s="485"/>
      <c r="CQ21" s="485"/>
      <c r="CR21" s="485"/>
      <c r="CS21" s="485"/>
      <c r="CT21" s="485"/>
      <c r="CU21" s="485"/>
      <c r="CV21" s="485"/>
      <c r="CW21" s="485"/>
      <c r="CX21" s="485"/>
      <c r="CY21" s="487"/>
    </row>
    <row r="22" spans="1:103" ht="15" customHeight="1" x14ac:dyDescent="0.35">
      <c r="A22" s="889"/>
      <c r="B22" s="478" t="s">
        <v>446</v>
      </c>
      <c r="C22" s="479">
        <f t="shared" si="2"/>
        <v>0</v>
      </c>
      <c r="D22" s="484">
        <f>'Data entry'!O64</f>
        <v>0</v>
      </c>
      <c r="E22" s="485"/>
      <c r="F22" s="485"/>
      <c r="G22" s="485"/>
      <c r="H22" s="485"/>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5"/>
      <c r="AL22" s="485"/>
      <c r="AM22" s="485"/>
      <c r="AN22" s="485"/>
      <c r="AO22" s="488">
        <f>IF('Data entry'!B13&gt;35,'Data entry'!O59,0)</f>
        <v>0</v>
      </c>
      <c r="AP22" s="481"/>
      <c r="AQ22" s="485"/>
      <c r="AR22" s="485"/>
      <c r="AS22" s="485"/>
      <c r="AT22" s="485"/>
      <c r="AU22" s="485"/>
      <c r="AV22" s="485"/>
      <c r="AW22" s="485"/>
      <c r="AX22" s="485"/>
      <c r="AY22" s="485"/>
      <c r="AZ22" s="485"/>
      <c r="BA22" s="485"/>
      <c r="BB22" s="485"/>
      <c r="BC22" s="485"/>
      <c r="BD22" s="485"/>
      <c r="BE22" s="485"/>
      <c r="BF22" s="485"/>
      <c r="BG22" s="485"/>
      <c r="BH22" s="485"/>
      <c r="BI22" s="485"/>
      <c r="BJ22" s="485"/>
      <c r="BK22" s="488">
        <f>IF(BK4&lt;'Data entry'!$B$13,'Data entry'!O61,0)</f>
        <v>0</v>
      </c>
      <c r="BL22" s="481"/>
      <c r="BM22" s="485"/>
      <c r="BN22" s="485"/>
      <c r="BO22" s="485"/>
      <c r="BP22" s="485"/>
      <c r="BQ22" s="485"/>
      <c r="BR22" s="485"/>
      <c r="BS22" s="485"/>
      <c r="BT22" s="485"/>
      <c r="BU22" s="485"/>
      <c r="BV22" s="485"/>
      <c r="BW22" s="485"/>
      <c r="BX22" s="485"/>
      <c r="BY22" s="485"/>
      <c r="BZ22" s="485"/>
      <c r="CA22" s="488">
        <f>IF(CA$4&lt;'Data entry'!$B$13-1,'Data entry'!O59+'Data entry'!O60,0)</f>
        <v>0</v>
      </c>
      <c r="CB22" s="481"/>
      <c r="CC22" s="485"/>
      <c r="CD22" s="485"/>
      <c r="CE22" s="485"/>
      <c r="CF22" s="485"/>
      <c r="CG22" s="485"/>
      <c r="CH22" s="485"/>
      <c r="CI22" s="485"/>
      <c r="CJ22" s="485"/>
      <c r="CK22" s="485"/>
      <c r="CL22" s="485"/>
      <c r="CM22" s="485"/>
      <c r="CN22" s="485"/>
      <c r="CO22" s="485"/>
      <c r="CP22" s="485"/>
      <c r="CQ22" s="485"/>
      <c r="CR22" s="485"/>
      <c r="CS22" s="485"/>
      <c r="CT22" s="485"/>
      <c r="CU22" s="485"/>
      <c r="CV22" s="485"/>
      <c r="CW22" s="485"/>
      <c r="CX22" s="485"/>
      <c r="CY22" s="487"/>
    </row>
    <row r="23" spans="1:103" ht="15" customHeight="1" x14ac:dyDescent="0.35">
      <c r="A23" s="889"/>
      <c r="B23" s="478" t="s">
        <v>447</v>
      </c>
      <c r="C23" s="479">
        <f t="shared" si="2"/>
        <v>0</v>
      </c>
      <c r="D23" s="484">
        <f>'Data entry'!O68</f>
        <v>0</v>
      </c>
      <c r="E23" s="485"/>
      <c r="F23" s="485"/>
      <c r="G23" s="485"/>
      <c r="H23" s="485"/>
      <c r="I23" s="485"/>
      <c r="J23" s="485"/>
      <c r="K23" s="485"/>
      <c r="L23" s="485"/>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5"/>
      <c r="AO23" s="486"/>
      <c r="AP23" s="481"/>
      <c r="AQ23" s="485"/>
      <c r="AR23" s="485"/>
      <c r="AS23" s="485"/>
      <c r="AT23" s="485"/>
      <c r="AU23" s="485"/>
      <c r="AV23" s="485"/>
      <c r="AW23" s="485"/>
      <c r="AX23" s="485"/>
      <c r="AY23" s="485"/>
      <c r="AZ23" s="485"/>
      <c r="BA23" s="485"/>
      <c r="BB23" s="485"/>
      <c r="BC23" s="485"/>
      <c r="BD23" s="485"/>
      <c r="BE23" s="485"/>
      <c r="BF23" s="485"/>
      <c r="BG23" s="485"/>
      <c r="BH23" s="485"/>
      <c r="BI23" s="485"/>
      <c r="BJ23" s="485"/>
      <c r="BK23" s="486"/>
      <c r="BL23" s="481"/>
      <c r="BM23" s="485"/>
      <c r="BN23" s="485"/>
      <c r="BO23" s="485"/>
      <c r="BP23" s="485"/>
      <c r="BQ23" s="485"/>
      <c r="BR23" s="485"/>
      <c r="BS23" s="485"/>
      <c r="BT23" s="485"/>
      <c r="BU23" s="485"/>
      <c r="BV23" s="485"/>
      <c r="BW23" s="485"/>
      <c r="BX23" s="485"/>
      <c r="BY23" s="485"/>
      <c r="BZ23" s="485"/>
      <c r="CA23" s="486"/>
      <c r="CB23" s="481"/>
      <c r="CC23" s="485"/>
      <c r="CD23" s="485"/>
      <c r="CE23" s="485"/>
      <c r="CF23" s="485"/>
      <c r="CG23" s="485"/>
      <c r="CH23" s="485"/>
      <c r="CI23" s="485"/>
      <c r="CJ23" s="485"/>
      <c r="CK23" s="485"/>
      <c r="CL23" s="485"/>
      <c r="CM23" s="485"/>
      <c r="CN23" s="485"/>
      <c r="CO23" s="485"/>
      <c r="CP23" s="485"/>
      <c r="CQ23" s="485"/>
      <c r="CR23" s="485"/>
      <c r="CS23" s="485"/>
      <c r="CT23" s="485"/>
      <c r="CU23" s="485"/>
      <c r="CV23" s="485"/>
      <c r="CW23" s="485"/>
      <c r="CX23" s="485"/>
      <c r="CY23" s="487"/>
    </row>
    <row r="24" spans="1:103" ht="15" customHeight="1" x14ac:dyDescent="0.35">
      <c r="A24" s="889"/>
      <c r="B24" s="478" t="s">
        <v>448</v>
      </c>
      <c r="C24" s="479">
        <f t="shared" si="2"/>
        <v>0</v>
      </c>
      <c r="D24" s="484">
        <f>SUM('Data entry'!X64:Y64, 'Data entry'!X68:Y68)</f>
        <v>0</v>
      </c>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8">
        <f>IF('Data entry'!B13 &gt; 35, SUM('Data entry'!X59:Y59), 0)</f>
        <v>0</v>
      </c>
      <c r="AP24" s="481"/>
      <c r="AQ24" s="485"/>
      <c r="AR24" s="485"/>
      <c r="AS24" s="485"/>
      <c r="AT24" s="485"/>
      <c r="AU24" s="485"/>
      <c r="AV24" s="485"/>
      <c r="AW24" s="485"/>
      <c r="AX24" s="485"/>
      <c r="AY24" s="485"/>
      <c r="AZ24" s="485"/>
      <c r="BA24" s="485"/>
      <c r="BB24" s="485"/>
      <c r="BC24" s="485"/>
      <c r="BD24" s="485"/>
      <c r="BE24" s="485"/>
      <c r="BF24" s="485"/>
      <c r="BG24" s="485"/>
      <c r="BH24" s="485"/>
      <c r="BI24" s="485"/>
      <c r="BJ24" s="485"/>
      <c r="BK24" s="488">
        <f>IF(BK$4 &lt; 'Data entry'!$B$13, SUM('Data entry'!X61:Y61), 0)</f>
        <v>0</v>
      </c>
      <c r="BL24" s="481"/>
      <c r="BM24" s="485"/>
      <c r="BN24" s="485"/>
      <c r="BO24" s="485"/>
      <c r="BP24" s="485"/>
      <c r="BQ24" s="485"/>
      <c r="BR24" s="485"/>
      <c r="BS24" s="485"/>
      <c r="BT24" s="485"/>
      <c r="BU24" s="485"/>
      <c r="BV24" s="485"/>
      <c r="BW24" s="485"/>
      <c r="BX24" s="485"/>
      <c r="BY24" s="485"/>
      <c r="BZ24" s="485"/>
      <c r="CA24" s="488">
        <f>IF(CA$4 &lt; 'Data entry'!$B$13 - 1, SUM('Data entry'!X59:Y60), 0)</f>
        <v>0</v>
      </c>
      <c r="CB24" s="481"/>
      <c r="CC24" s="485"/>
      <c r="CD24" s="485"/>
      <c r="CE24" s="485"/>
      <c r="CF24" s="485"/>
      <c r="CG24" s="485"/>
      <c r="CH24" s="485"/>
      <c r="CI24" s="485"/>
      <c r="CJ24" s="485"/>
      <c r="CK24" s="485"/>
      <c r="CL24" s="485"/>
      <c r="CM24" s="485"/>
      <c r="CN24" s="485"/>
      <c r="CO24" s="485"/>
      <c r="CP24" s="485"/>
      <c r="CQ24" s="485"/>
      <c r="CR24" s="485"/>
      <c r="CS24" s="485"/>
      <c r="CT24" s="485"/>
      <c r="CU24" s="485"/>
      <c r="CV24" s="485"/>
      <c r="CW24" s="485"/>
      <c r="CX24" s="485"/>
      <c r="CY24" s="487"/>
    </row>
    <row r="25" spans="1:103" ht="15" customHeight="1" x14ac:dyDescent="0.35">
      <c r="A25" s="889"/>
      <c r="B25" s="478" t="s">
        <v>348</v>
      </c>
      <c r="C25" s="479">
        <f t="shared" si="2"/>
        <v>0</v>
      </c>
      <c r="D25" s="484">
        <f>'Data entry'!$AB$64+'Data entry'!$AB$68</f>
        <v>0</v>
      </c>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8">
        <f>IF('Data entry'!B13&gt;35,'Data entry'!AB59,0)</f>
        <v>0</v>
      </c>
      <c r="AP25" s="481"/>
      <c r="AQ25" s="485"/>
      <c r="AR25" s="485"/>
      <c r="AS25" s="485"/>
      <c r="AT25" s="485"/>
      <c r="AU25" s="485"/>
      <c r="AV25" s="485"/>
      <c r="AW25" s="485"/>
      <c r="AX25" s="485"/>
      <c r="AY25" s="485"/>
      <c r="AZ25" s="485"/>
      <c r="BA25" s="485"/>
      <c r="BB25" s="485"/>
      <c r="BC25" s="485"/>
      <c r="BD25" s="485"/>
      <c r="BE25" s="485"/>
      <c r="BF25" s="485"/>
      <c r="BG25" s="485"/>
      <c r="BH25" s="485"/>
      <c r="BI25" s="485"/>
      <c r="BJ25" s="485"/>
      <c r="BK25" s="488">
        <f>IF(BK$4&lt;'Data entry'!$B$13,'Data entry'!AB61,0)</f>
        <v>0</v>
      </c>
      <c r="BL25" s="481"/>
      <c r="BM25" s="485"/>
      <c r="BN25" s="485"/>
      <c r="BO25" s="485"/>
      <c r="BP25" s="485"/>
      <c r="BQ25" s="485"/>
      <c r="BR25" s="485"/>
      <c r="BS25" s="485"/>
      <c r="BT25" s="485"/>
      <c r="BU25" s="485"/>
      <c r="BV25" s="485"/>
      <c r="BW25" s="485"/>
      <c r="BX25" s="485"/>
      <c r="BY25" s="485"/>
      <c r="BZ25" s="485"/>
      <c r="CA25" s="488">
        <f>IF(CA$4&lt;'Data entry'!$B$13-1,'Data entry'!AB59+'Data entry'!AB60,0)</f>
        <v>0</v>
      </c>
      <c r="CB25" s="481"/>
      <c r="CC25" s="485"/>
      <c r="CD25" s="485"/>
      <c r="CE25" s="485"/>
      <c r="CF25" s="485"/>
      <c r="CG25" s="485"/>
      <c r="CH25" s="485"/>
      <c r="CI25" s="485"/>
      <c r="CJ25" s="485"/>
      <c r="CK25" s="485"/>
      <c r="CL25" s="485"/>
      <c r="CM25" s="485"/>
      <c r="CN25" s="485"/>
      <c r="CO25" s="485"/>
      <c r="CP25" s="485"/>
      <c r="CQ25" s="485"/>
      <c r="CR25" s="485"/>
      <c r="CS25" s="485"/>
      <c r="CT25" s="485"/>
      <c r="CU25" s="485"/>
      <c r="CV25" s="485"/>
      <c r="CW25" s="485"/>
      <c r="CX25" s="485"/>
      <c r="CY25" s="487"/>
    </row>
    <row r="26" spans="1:103" ht="15" customHeight="1" x14ac:dyDescent="0.35">
      <c r="A26" s="889"/>
      <c r="B26" s="288" t="s">
        <v>289</v>
      </c>
      <c r="C26" s="479">
        <f>SUM(D26:CY26)</f>
        <v>0</v>
      </c>
      <c r="D26" s="484">
        <f>'Data entry'!AC64+'Data entry'!AC68</f>
        <v>0</v>
      </c>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1"/>
      <c r="AM26" s="491"/>
      <c r="AN26" s="491"/>
      <c r="AO26" s="492"/>
      <c r="AP26" s="491"/>
      <c r="AQ26" s="491"/>
      <c r="AR26" s="491"/>
      <c r="AS26" s="491"/>
      <c r="AT26" s="491"/>
      <c r="AU26" s="491"/>
      <c r="AV26" s="491"/>
      <c r="AW26" s="491"/>
      <c r="AX26" s="491"/>
      <c r="AY26" s="491"/>
      <c r="AZ26" s="491"/>
      <c r="BA26" s="491"/>
      <c r="BB26" s="491"/>
      <c r="BC26" s="491"/>
      <c r="BD26" s="491"/>
      <c r="BE26" s="491"/>
      <c r="BF26" s="491"/>
      <c r="BG26" s="491"/>
      <c r="BH26" s="491"/>
      <c r="BI26" s="491"/>
      <c r="BJ26" s="491"/>
      <c r="BK26" s="492"/>
      <c r="BL26" s="491"/>
      <c r="BM26" s="491"/>
      <c r="BN26" s="491"/>
      <c r="BO26" s="491"/>
      <c r="BP26" s="491"/>
      <c r="BQ26" s="491"/>
      <c r="BR26" s="491"/>
      <c r="BS26" s="491"/>
      <c r="BT26" s="491"/>
      <c r="BU26" s="491"/>
      <c r="BV26" s="491"/>
      <c r="BW26" s="491"/>
      <c r="BX26" s="491"/>
      <c r="BY26" s="491"/>
      <c r="BZ26" s="491"/>
      <c r="CA26" s="492"/>
      <c r="CB26" s="491"/>
      <c r="CC26" s="491"/>
      <c r="CD26" s="491"/>
      <c r="CE26" s="491"/>
      <c r="CF26" s="491"/>
      <c r="CG26" s="491"/>
      <c r="CH26" s="491"/>
      <c r="CI26" s="491"/>
      <c r="CJ26" s="491"/>
      <c r="CK26" s="491"/>
      <c r="CL26" s="491"/>
      <c r="CM26" s="491"/>
      <c r="CN26" s="491"/>
      <c r="CO26" s="491"/>
      <c r="CP26" s="491"/>
      <c r="CQ26" s="491"/>
      <c r="CR26" s="491"/>
      <c r="CS26" s="491"/>
      <c r="CT26" s="491"/>
      <c r="CU26" s="491"/>
      <c r="CV26" s="491"/>
      <c r="CW26" s="491"/>
      <c r="CX26" s="491"/>
      <c r="CY26" s="493"/>
    </row>
    <row r="27" spans="1:103" ht="15" customHeight="1" x14ac:dyDescent="0.35">
      <c r="A27" s="889"/>
      <c r="B27" s="478" t="s">
        <v>6</v>
      </c>
      <c r="C27" s="479">
        <f t="shared" si="2"/>
        <v>0</v>
      </c>
      <c r="D27" s="485"/>
      <c r="E27" s="484">
        <f>'Data entry'!R64+'Data entry'!R68</f>
        <v>0</v>
      </c>
      <c r="F27" s="484">
        <f>'Data entry'!S64+'Data entry'!S68</f>
        <v>0</v>
      </c>
      <c r="G27" s="484">
        <f>'Data entry'!T64+'Data entry'!T68</f>
        <v>0</v>
      </c>
      <c r="H27" s="485"/>
      <c r="I27" s="485"/>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5"/>
      <c r="AL27" s="485"/>
      <c r="AM27" s="485"/>
      <c r="AN27" s="485"/>
      <c r="AO27" s="486"/>
      <c r="AP27" s="484">
        <f>IF('Data entry'!$B$13&gt;35,'Data entry'!R59,0)</f>
        <v>0</v>
      </c>
      <c r="AQ27" s="484">
        <f>IF('Data entry'!$B$13&gt;35,'Data entry'!S59,0)</f>
        <v>0</v>
      </c>
      <c r="AR27" s="484">
        <f>IF(AR4&lt;'Data entry'!$B$13,'Data entry'!T59,0)</f>
        <v>0</v>
      </c>
      <c r="AS27" s="481"/>
      <c r="AT27" s="481"/>
      <c r="AU27" s="481"/>
      <c r="AV27" s="481"/>
      <c r="AW27" s="485"/>
      <c r="AX27" s="485"/>
      <c r="AY27" s="485"/>
      <c r="AZ27" s="485"/>
      <c r="BA27" s="485"/>
      <c r="BB27" s="485"/>
      <c r="BC27" s="485"/>
      <c r="BD27" s="485"/>
      <c r="BE27" s="485"/>
      <c r="BF27" s="485"/>
      <c r="BG27" s="485"/>
      <c r="BH27" s="485"/>
      <c r="BI27" s="485"/>
      <c r="BJ27" s="485"/>
      <c r="BK27" s="486"/>
      <c r="BL27" s="484">
        <f>IF(BL$4&lt;'Data entry'!$B$13,'Data entry'!R61,0)</f>
        <v>0</v>
      </c>
      <c r="BM27" s="484">
        <f>IF(BM$4&lt;'Data entry'!$B$13,'Data entry'!S61,0)</f>
        <v>0</v>
      </c>
      <c r="BN27" s="484">
        <f>IF(BN$4&lt;'Data entry'!$B$13,'Data entry'!T61,0)</f>
        <v>0</v>
      </c>
      <c r="BO27" s="481"/>
      <c r="BP27" s="485"/>
      <c r="BQ27" s="485"/>
      <c r="BR27" s="485"/>
      <c r="BS27" s="485"/>
      <c r="BT27" s="485"/>
      <c r="BU27" s="485"/>
      <c r="BV27" s="485"/>
      <c r="BW27" s="485"/>
      <c r="BX27" s="485"/>
      <c r="BY27" s="485"/>
      <c r="BZ27" s="485"/>
      <c r="CA27" s="486"/>
      <c r="CB27" s="484">
        <f>IF(CB$4&lt;'Data entry'!$B$13,'Data entry'!R59+'Data entry'!R60,0)</f>
        <v>0</v>
      </c>
      <c r="CC27" s="484">
        <f>IF(CC$4&lt;'Data entry'!$B$13,'Data entry'!S59+'Data entry'!S60,0)</f>
        <v>0</v>
      </c>
      <c r="CD27" s="484">
        <f>IF(CD$4&lt;'Data entry'!$B$13,'Data entry'!T59+'Data entry'!T60,0)</f>
        <v>0</v>
      </c>
      <c r="CE27" s="481"/>
      <c r="CF27" s="485"/>
      <c r="CG27" s="481"/>
      <c r="CH27" s="481"/>
      <c r="CI27" s="481"/>
      <c r="CJ27" s="485"/>
      <c r="CK27" s="485"/>
      <c r="CL27" s="485"/>
      <c r="CM27" s="485"/>
      <c r="CN27" s="485"/>
      <c r="CO27" s="485"/>
      <c r="CP27" s="485"/>
      <c r="CQ27" s="485"/>
      <c r="CR27" s="485"/>
      <c r="CS27" s="485"/>
      <c r="CT27" s="485"/>
      <c r="CU27" s="485"/>
      <c r="CV27" s="485"/>
      <c r="CW27" s="485"/>
      <c r="CX27" s="485"/>
      <c r="CY27" s="487"/>
    </row>
    <row r="28" spans="1:103" ht="15" customHeight="1" x14ac:dyDescent="0.35">
      <c r="A28" s="889"/>
      <c r="B28" s="478" t="s">
        <v>449</v>
      </c>
      <c r="C28" s="479">
        <f t="shared" si="2"/>
        <v>0</v>
      </c>
      <c r="D28" s="485"/>
      <c r="E28" s="484">
        <f>'Data entry'!U64</f>
        <v>0</v>
      </c>
      <c r="F28" s="484">
        <f>'Data entry'!V64</f>
        <v>0</v>
      </c>
      <c r="G28" s="484">
        <f>'Data entry'!W64</f>
        <v>0</v>
      </c>
      <c r="H28" s="485"/>
      <c r="I28" s="485"/>
      <c r="J28" s="485"/>
      <c r="K28" s="485"/>
      <c r="L28" s="485"/>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5"/>
      <c r="AL28" s="485"/>
      <c r="AM28" s="485"/>
      <c r="AN28" s="485"/>
      <c r="AO28" s="486"/>
      <c r="AP28" s="484">
        <f>IF('Data entry'!$B$13&gt;35,'Data entry'!U59,0)</f>
        <v>0</v>
      </c>
      <c r="AQ28" s="484">
        <f>IF('Data entry'!$B$13&gt;35,'Data entry'!V59,0)</f>
        <v>0</v>
      </c>
      <c r="AR28" s="484">
        <f>IF(AR4&lt;'Data entry'!$B$13,'Data entry'!W59,0)</f>
        <v>0</v>
      </c>
      <c r="AS28" s="481"/>
      <c r="AT28" s="485"/>
      <c r="AU28" s="485"/>
      <c r="AV28" s="485"/>
      <c r="AW28" s="485"/>
      <c r="AX28" s="485"/>
      <c r="AY28" s="485"/>
      <c r="AZ28" s="485"/>
      <c r="BA28" s="485"/>
      <c r="BB28" s="485"/>
      <c r="BC28" s="485"/>
      <c r="BD28" s="485"/>
      <c r="BE28" s="485"/>
      <c r="BF28" s="485"/>
      <c r="BG28" s="485"/>
      <c r="BH28" s="485"/>
      <c r="BI28" s="485"/>
      <c r="BJ28" s="485"/>
      <c r="BK28" s="486"/>
      <c r="BL28" s="484">
        <f>IF(BL$4&lt;'Data entry'!$B$13,'Data entry'!U61,0)</f>
        <v>0</v>
      </c>
      <c r="BM28" s="484">
        <f>IF(BM$4&lt;'Data entry'!$B$13,'Data entry'!V61,0)</f>
        <v>0</v>
      </c>
      <c r="BN28" s="484">
        <f>IF(BN$4&lt;'Data entry'!$B$13,'Data entry'!W61,0)</f>
        <v>0</v>
      </c>
      <c r="BO28" s="481"/>
      <c r="BP28" s="485"/>
      <c r="BQ28" s="485"/>
      <c r="BR28" s="485"/>
      <c r="BS28" s="485"/>
      <c r="BT28" s="485"/>
      <c r="BU28" s="485"/>
      <c r="BV28" s="485"/>
      <c r="BW28" s="485"/>
      <c r="BX28" s="485"/>
      <c r="BY28" s="485"/>
      <c r="BZ28" s="485"/>
      <c r="CA28" s="486"/>
      <c r="CB28" s="484">
        <f>IF(CB$4&lt;'Data entry'!$B$13,'Data entry'!U59+'Data entry'!U60,0)</f>
        <v>0</v>
      </c>
      <c r="CC28" s="484">
        <f>IF(CC$4&lt;'Data entry'!$B$13,'Data entry'!V59+'Data entry'!V60,0)</f>
        <v>0</v>
      </c>
      <c r="CD28" s="484">
        <f>IF(CD$4&lt;'Data entry'!$B$13,'Data entry'!W59+'Data entry'!W60,0)</f>
        <v>0</v>
      </c>
      <c r="CE28" s="481"/>
      <c r="CF28" s="485"/>
      <c r="CG28" s="485"/>
      <c r="CH28" s="485"/>
      <c r="CI28" s="485"/>
      <c r="CJ28" s="485"/>
      <c r="CK28" s="485"/>
      <c r="CL28" s="485"/>
      <c r="CM28" s="485"/>
      <c r="CN28" s="485"/>
      <c r="CO28" s="485"/>
      <c r="CP28" s="485"/>
      <c r="CQ28" s="485"/>
      <c r="CR28" s="485"/>
      <c r="CS28" s="485"/>
      <c r="CT28" s="485"/>
      <c r="CU28" s="485"/>
      <c r="CV28" s="485"/>
      <c r="CW28" s="485"/>
      <c r="CX28" s="485"/>
      <c r="CY28" s="487"/>
    </row>
    <row r="29" spans="1:103" ht="15" customHeight="1" x14ac:dyDescent="0.35">
      <c r="A29" s="889"/>
      <c r="B29" s="478" t="s">
        <v>450</v>
      </c>
      <c r="C29" s="479">
        <f t="shared" si="2"/>
        <v>0</v>
      </c>
      <c r="D29" s="485"/>
      <c r="E29" s="484">
        <f>'Data entry'!U68</f>
        <v>0</v>
      </c>
      <c r="F29" s="484">
        <f>'Data entry'!V68</f>
        <v>0</v>
      </c>
      <c r="G29" s="484">
        <f>'Data entry'!W68</f>
        <v>0</v>
      </c>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6"/>
      <c r="AP29" s="485"/>
      <c r="AQ29" s="485"/>
      <c r="AR29" s="485"/>
      <c r="AS29" s="485"/>
      <c r="AT29" s="485"/>
      <c r="AU29" s="485"/>
      <c r="AV29" s="485"/>
      <c r="AW29" s="485"/>
      <c r="AX29" s="485"/>
      <c r="AY29" s="485"/>
      <c r="AZ29" s="485"/>
      <c r="BA29" s="485"/>
      <c r="BB29" s="485"/>
      <c r="BC29" s="485"/>
      <c r="BD29" s="485"/>
      <c r="BE29" s="485"/>
      <c r="BF29" s="485"/>
      <c r="BG29" s="485"/>
      <c r="BH29" s="485"/>
      <c r="BI29" s="485"/>
      <c r="BJ29" s="485"/>
      <c r="BK29" s="486"/>
      <c r="BL29" s="485"/>
      <c r="BM29" s="485"/>
      <c r="BN29" s="485"/>
      <c r="BO29" s="485"/>
      <c r="BP29" s="485"/>
      <c r="BQ29" s="485"/>
      <c r="BR29" s="485"/>
      <c r="BS29" s="485"/>
      <c r="BT29" s="485"/>
      <c r="BU29" s="485"/>
      <c r="BV29" s="485"/>
      <c r="BW29" s="485"/>
      <c r="BX29" s="485"/>
      <c r="BY29" s="485"/>
      <c r="BZ29" s="485"/>
      <c r="CA29" s="486"/>
      <c r="CB29" s="485"/>
      <c r="CC29" s="485"/>
      <c r="CD29" s="485"/>
      <c r="CE29" s="485"/>
      <c r="CF29" s="485"/>
      <c r="CG29" s="485"/>
      <c r="CH29" s="485"/>
      <c r="CI29" s="485"/>
      <c r="CJ29" s="485"/>
      <c r="CK29" s="485"/>
      <c r="CL29" s="485"/>
      <c r="CM29" s="485"/>
      <c r="CN29" s="485"/>
      <c r="CO29" s="485"/>
      <c r="CP29" s="485"/>
      <c r="CQ29" s="485"/>
      <c r="CR29" s="485"/>
      <c r="CS29" s="485"/>
      <c r="CT29" s="485"/>
      <c r="CU29" s="485"/>
      <c r="CV29" s="485"/>
      <c r="CW29" s="485"/>
      <c r="CX29" s="485"/>
      <c r="CY29" s="487"/>
    </row>
    <row r="30" spans="1:103" ht="15" customHeight="1" x14ac:dyDescent="0.35">
      <c r="A30" s="889"/>
      <c r="B30" s="478" t="s">
        <v>451</v>
      </c>
      <c r="C30" s="479">
        <f t="shared" si="2"/>
        <v>0</v>
      </c>
      <c r="D30" s="481"/>
      <c r="E30" s="485"/>
      <c r="F30" s="485"/>
      <c r="G30" s="485"/>
      <c r="H30" s="485"/>
      <c r="I30" s="485"/>
      <c r="J30" s="485"/>
      <c r="K30" s="485"/>
      <c r="L30" s="485"/>
      <c r="M30" s="484">
        <f>'Data entry'!$Z$64+'Data entry'!$Z$68</f>
        <v>0</v>
      </c>
      <c r="N30" s="481"/>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6"/>
      <c r="AP30" s="485"/>
      <c r="AQ30" s="485"/>
      <c r="AR30" s="485"/>
      <c r="AS30" s="485"/>
      <c r="AT30" s="485"/>
      <c r="AU30" s="485"/>
      <c r="AV30" s="485"/>
      <c r="AW30" s="485"/>
      <c r="AX30" s="485"/>
      <c r="AY30" s="484">
        <f>IF(AY4&lt;'Data entry'!$B$13,'Data entry'!Z59,0)</f>
        <v>0</v>
      </c>
      <c r="AZ30" s="485"/>
      <c r="BA30" s="485"/>
      <c r="BB30" s="485"/>
      <c r="BC30" s="485"/>
      <c r="BD30" s="485"/>
      <c r="BE30" s="485"/>
      <c r="BF30" s="485"/>
      <c r="BG30" s="485"/>
      <c r="BH30" s="485"/>
      <c r="BI30" s="485"/>
      <c r="BJ30" s="485"/>
      <c r="BK30" s="486"/>
      <c r="BL30" s="485"/>
      <c r="BM30" s="485"/>
      <c r="BN30" s="485"/>
      <c r="BO30" s="485"/>
      <c r="BP30" s="485"/>
      <c r="BQ30" s="485"/>
      <c r="BR30" s="485"/>
      <c r="BS30" s="485"/>
      <c r="BT30" s="485"/>
      <c r="BU30" s="484">
        <f>IF(BU4&lt;'Data entry'!$B$13-1,'Data entry'!Z61,0)</f>
        <v>0</v>
      </c>
      <c r="BV30" s="485"/>
      <c r="BW30" s="485"/>
      <c r="BX30" s="485"/>
      <c r="BY30" s="485"/>
      <c r="BZ30" s="485"/>
      <c r="CA30" s="486"/>
      <c r="CB30" s="485"/>
      <c r="CC30" s="485"/>
      <c r="CD30" s="485"/>
      <c r="CE30" s="485"/>
      <c r="CF30" s="485"/>
      <c r="CG30" s="485"/>
      <c r="CH30" s="485"/>
      <c r="CI30" s="485"/>
      <c r="CJ30" s="485"/>
      <c r="CK30" s="484">
        <f>IF(CK4&lt;'Data entry'!$B$13,'Data entry'!Z59+'Data entry'!Z60,0)</f>
        <v>0</v>
      </c>
      <c r="CL30" s="485"/>
      <c r="CM30" s="485"/>
      <c r="CN30" s="485"/>
      <c r="CO30" s="485"/>
      <c r="CP30" s="485"/>
      <c r="CQ30" s="485"/>
      <c r="CR30" s="485"/>
      <c r="CS30" s="485"/>
      <c r="CT30" s="485"/>
      <c r="CU30" s="485"/>
      <c r="CV30" s="485"/>
      <c r="CW30" s="485"/>
      <c r="CX30" s="485"/>
      <c r="CY30" s="487"/>
    </row>
    <row r="31" spans="1:103" ht="15" customHeight="1" x14ac:dyDescent="0.35">
      <c r="A31" s="890"/>
      <c r="B31" s="494" t="s">
        <v>246</v>
      </c>
      <c r="C31" s="479">
        <f t="shared" si="2"/>
        <v>0</v>
      </c>
      <c r="D31" s="495">
        <f>IF(SUM(D20:D29,D53,D54)&gt;0,'Cost data'!$C$48,0)</f>
        <v>0</v>
      </c>
      <c r="E31" s="495">
        <f>IF(SUM(E20:E29,E53,E54)&gt;0,'Cost data'!$C$48,0)</f>
        <v>0</v>
      </c>
      <c r="F31" s="495">
        <f>IF(SUM(F20:F29,F53,F54)&gt;0,'Cost data'!$C$48,0)</f>
        <v>0</v>
      </c>
      <c r="G31" s="495">
        <f>IF(SUM(G20:G29,G53,G54)&gt;0,'Cost data'!$C$48,0)</f>
        <v>0</v>
      </c>
      <c r="H31" s="495">
        <f>IF(SUM(H20:H29,H53,H54)&gt;0,'Cost data'!$C$48,0)</f>
        <v>0</v>
      </c>
      <c r="I31" s="495">
        <f>IF(SUM(I20:I29,I53,I54)&gt;0,'Cost data'!$C$48,0)</f>
        <v>0</v>
      </c>
      <c r="J31" s="495">
        <f>IF(SUM(J20:J29,J53,J54)&gt;0,'Cost data'!$C$48,0)</f>
        <v>0</v>
      </c>
      <c r="K31" s="495">
        <f>IF(SUM(K20:K29,K53,K54)&gt;0,'Cost data'!$C$48,0)</f>
        <v>0</v>
      </c>
      <c r="L31" s="495">
        <f>IF(SUM(L20:L29,L53,L54)&gt;0,'Cost data'!$C$48,0)</f>
        <v>0</v>
      </c>
      <c r="M31" s="495">
        <f>IF(SUM(M20:M29,M53,M54)&gt;0,'Cost data'!$C$48,0)</f>
        <v>0</v>
      </c>
      <c r="N31" s="495">
        <f>IF(SUM(N20:N29,N53,N54)&gt;0,'Cost data'!$C$48,0)</f>
        <v>0</v>
      </c>
      <c r="O31" s="495">
        <f>IF(SUM(O20:O29,O53,O54)&gt;0,'Cost data'!$C$48,0)</f>
        <v>0</v>
      </c>
      <c r="P31" s="495">
        <f>IF(SUM(P20:P29,P53,P54)&gt;0,'Cost data'!$C$48,0)</f>
        <v>0</v>
      </c>
      <c r="Q31" s="495">
        <f>IF(SUM(Q20:Q29,Q53,Q54)&gt;0,'Cost data'!$C$48,0)</f>
        <v>0</v>
      </c>
      <c r="R31" s="495">
        <f>IF(SUM(R20:R29,R53,R54)&gt;0,'Cost data'!$C$48,0)</f>
        <v>0</v>
      </c>
      <c r="S31" s="495">
        <f>IF(SUM(S20:S29,S53,S54)&gt;0,'Cost data'!$C$48,0)</f>
        <v>0</v>
      </c>
      <c r="T31" s="495">
        <f>IF(SUM(T20:T29,T53,T54)&gt;0,'Cost data'!$C$48,0)</f>
        <v>0</v>
      </c>
      <c r="U31" s="495">
        <f>IF(SUM(U20:U29,U53,U54)&gt;0,'Cost data'!$C$48,0)</f>
        <v>0</v>
      </c>
      <c r="V31" s="495">
        <f>IF(SUM(V20:V29,V53,V54)&gt;0,'Cost data'!$C$48,0)</f>
        <v>0</v>
      </c>
      <c r="W31" s="495">
        <f>IF(SUM(W20:W29,W53,W54)&gt;0,'Cost data'!$C$48,0)</f>
        <v>0</v>
      </c>
      <c r="X31" s="495">
        <f>IF(SUM(X20:X29,X53,X54)&gt;0,'Cost data'!$C$48,0)</f>
        <v>0</v>
      </c>
      <c r="Y31" s="495">
        <f>IF(SUM(Y20:Y29,Y53,Y54)&gt;0,'Cost data'!$C$48,0)</f>
        <v>0</v>
      </c>
      <c r="Z31" s="495">
        <f>IF(SUM(Z20:Z29,Z53,Z54)&gt;0,'Cost data'!$C$48,0)</f>
        <v>0</v>
      </c>
      <c r="AA31" s="495">
        <f>IF(SUM(AA20:AA29,AA53,AA54)&gt;0,'Cost data'!$C$48,0)</f>
        <v>0</v>
      </c>
      <c r="AB31" s="495">
        <f>IF(SUM(AB20:AB29,AB53,AB54)&gt;0,'Cost data'!$C$48,0)</f>
        <v>0</v>
      </c>
      <c r="AC31" s="495">
        <f>IF(SUM(AC20:AC29,AC53,AC54)&gt;0,'Cost data'!$C$48,0)</f>
        <v>0</v>
      </c>
      <c r="AD31" s="495">
        <f>IF(SUM(AD20:AD29,AD53,AD54)&gt;0,'Cost data'!$C$48,0)</f>
        <v>0</v>
      </c>
      <c r="AE31" s="495">
        <f>IF(SUM(AE20:AE29,AE53,AE54)&gt;0,'Cost data'!$C$48,0)</f>
        <v>0</v>
      </c>
      <c r="AF31" s="495">
        <f>IF(SUM(AF20:AF29,AF53,AF54)&gt;0,'Cost data'!$C$48,0)</f>
        <v>0</v>
      </c>
      <c r="AG31" s="495">
        <f>IF(SUM(AG20:AG29,AG53,AG54)&gt;0,'Cost data'!$C$48,0)</f>
        <v>0</v>
      </c>
      <c r="AH31" s="495">
        <f>IF(SUM(AH20:AH29,AH53,AH54)&gt;0,'Cost data'!$C$48,0)</f>
        <v>0</v>
      </c>
      <c r="AI31" s="495">
        <f>IF(SUM(AI20:AI29,AI53,AI54)&gt;0,'Cost data'!$C$48,0)</f>
        <v>0</v>
      </c>
      <c r="AJ31" s="495">
        <f>IF(SUM(AJ20:AJ29,AJ53,AJ54)&gt;0,'Cost data'!$C$48,0)</f>
        <v>0</v>
      </c>
      <c r="AK31" s="495">
        <f>IF(SUM(AK20:AK29,AK53,AK54)&gt;0,'Cost data'!$C$48,0)</f>
        <v>0</v>
      </c>
      <c r="AL31" s="495">
        <f>IF(SUM(AL20:AL29,AL53,AL54)&gt;0,'Cost data'!$C$48,0)</f>
        <v>0</v>
      </c>
      <c r="AM31" s="495">
        <f>IF(SUM(AM20:AM29,AM53,AM54)&gt;0,'Cost data'!$C$48,0)</f>
        <v>0</v>
      </c>
      <c r="AN31" s="495">
        <f>IF(SUM(AN20:AN29,AN53,AN54)&gt;0,'Cost data'!$C$48,0)</f>
        <v>0</v>
      </c>
      <c r="AO31" s="496">
        <f>IF(SUM(AO20:AO29,AO53,AO54)&gt;0,'Cost data'!$C$48,0)</f>
        <v>0</v>
      </c>
      <c r="AP31" s="495">
        <f>IF(SUM(AP20:AP29,AP53,AP54)&gt;0,'Cost data'!$C$48,0)</f>
        <v>0</v>
      </c>
      <c r="AQ31" s="495">
        <f>IF(SUM(AQ20:AQ29,AQ53,AQ54)&gt;0,'Cost data'!$C$48,0)</f>
        <v>0</v>
      </c>
      <c r="AR31" s="495">
        <f>IF(SUM(AR20:AR29,AR53,AR54)&gt;0,'Cost data'!$C$48,0)</f>
        <v>0</v>
      </c>
      <c r="AS31" s="495">
        <f>IF(SUM(AS20:AS29,AS53,AS54)&gt;0,'Cost data'!$C$48,0)</f>
        <v>0</v>
      </c>
      <c r="AT31" s="495">
        <f>IF(SUM(AT20:AT29,AT53,AT54)&gt;0,'Cost data'!$C$48,0)</f>
        <v>0</v>
      </c>
      <c r="AU31" s="495">
        <f>IF(SUM(AU20:AU29,AU53,AU54)&gt;0,'Cost data'!$C$48,0)</f>
        <v>0</v>
      </c>
      <c r="AV31" s="495">
        <f>IF(SUM(AV20:AV29,AV53,AV54)&gt;0,'Cost data'!$C$48,0)</f>
        <v>0</v>
      </c>
      <c r="AW31" s="495">
        <f>IF(SUM(AW20:AW29,AW53,AW54)&gt;0,'Cost data'!$C$48,0)</f>
        <v>0</v>
      </c>
      <c r="AX31" s="495">
        <f>IF(SUM(AX20:AX29,AX53,AX54)&gt;0,'Cost data'!$C$48,0)</f>
        <v>0</v>
      </c>
      <c r="AY31" s="495">
        <f>IF(SUM(AY20:AY29,AY53,AY54)&gt;0,'Cost data'!$C$48,0)</f>
        <v>0</v>
      </c>
      <c r="AZ31" s="495">
        <f>IF(SUM(AZ20:AZ29,AZ53,AZ54)&gt;0,'Cost data'!$C$48,0)</f>
        <v>0</v>
      </c>
      <c r="BA31" s="495">
        <f>IF(SUM(BA20:BA29,BA53,BA54)&gt;0,'Cost data'!$C$48,0)</f>
        <v>0</v>
      </c>
      <c r="BB31" s="495">
        <f>IF(SUM(BB20:BB29,BB53,BB54)&gt;0,'Cost data'!$C$48,0)</f>
        <v>0</v>
      </c>
      <c r="BC31" s="495">
        <f>IF(SUM(BC20:BC29,BC53,BC54)&gt;0,'Cost data'!$C$48,0)</f>
        <v>0</v>
      </c>
      <c r="BD31" s="495">
        <f>IF(SUM(BD20:BD29,BD53,BD54)&gt;0,'Cost data'!$C$48,0)</f>
        <v>0</v>
      </c>
      <c r="BE31" s="495">
        <f>IF(SUM(BE20:BE29,BE53,BE54)&gt;0,'Cost data'!$C$48,0)</f>
        <v>0</v>
      </c>
      <c r="BF31" s="495">
        <f>IF(SUM(BF20:BF29,BF53,BF54)&gt;0,'Cost data'!$C$48,0)</f>
        <v>0</v>
      </c>
      <c r="BG31" s="495">
        <f>IF(SUM(BG20:BG29,BG53,BG54)&gt;0,'Cost data'!$C$48,0)</f>
        <v>0</v>
      </c>
      <c r="BH31" s="495">
        <f>IF(SUM(BH20:BH29,BH53,BH54)&gt;0,'Cost data'!$C$48,0)</f>
        <v>0</v>
      </c>
      <c r="BI31" s="495">
        <f>IF(SUM(BI20:BI29,BI53,BI54)&gt;0,'Cost data'!$C$48,0)</f>
        <v>0</v>
      </c>
      <c r="BJ31" s="495">
        <f>IF(SUM(BJ20:BJ29,BJ53,BJ54)&gt;0,'Cost data'!$C$48,0)</f>
        <v>0</v>
      </c>
      <c r="BK31" s="496">
        <f>IF(SUM(BK20:BK29,BK53,BK54)&gt;0,'Cost data'!$C$48,0)</f>
        <v>0</v>
      </c>
      <c r="BL31" s="495">
        <f>IF(SUM(BL20:BL29,BL53,BL54)&gt;0,'Cost data'!$C$48,0)</f>
        <v>0</v>
      </c>
      <c r="BM31" s="495">
        <f>IF(SUM(BM20:BM29,BM53,BM54)&gt;0,'Cost data'!$C$48,0)</f>
        <v>0</v>
      </c>
      <c r="BN31" s="495">
        <f>IF(SUM(BN20:BN29,BN53,BN54)&gt;0,'Cost data'!$C$48,0)</f>
        <v>0</v>
      </c>
      <c r="BO31" s="495">
        <f>IF(SUM(BO20:BO29,BO53,BO54)&gt;0,'Cost data'!$C$48,0)</f>
        <v>0</v>
      </c>
      <c r="BP31" s="495">
        <f>IF(SUM(BP20:BP29,BP53,BP54)&gt;0,'Cost data'!$C$48,0)</f>
        <v>0</v>
      </c>
      <c r="BQ31" s="495">
        <f>IF(SUM(BQ20:BQ29,BQ53,BQ54)&gt;0,'Cost data'!$C$48,0)</f>
        <v>0</v>
      </c>
      <c r="BR31" s="495">
        <f>IF(SUM(BR20:BR29,BR53,BR54)&gt;0,'Cost data'!$C$48,0)</f>
        <v>0</v>
      </c>
      <c r="BS31" s="495">
        <f>IF(SUM(BS20:BS29,BS53,BS54)&gt;0,'Cost data'!$C$48,0)</f>
        <v>0</v>
      </c>
      <c r="BT31" s="495">
        <f>IF(SUM(BT20:BT29,BT53,BT54)&gt;0,'Cost data'!$C$48,0)</f>
        <v>0</v>
      </c>
      <c r="BU31" s="495">
        <f>IF(SUM(BU20:BU29,BU53,BU54)&gt;0,'Cost data'!$C$48,0)</f>
        <v>0</v>
      </c>
      <c r="BV31" s="495">
        <f>IF(SUM(BV20:BV29,BV53,BV54)&gt;0,'Cost data'!$C$48,0)</f>
        <v>0</v>
      </c>
      <c r="BW31" s="495">
        <f>IF(SUM(BW20:BW29,BW53,BW54)&gt;0,'Cost data'!$C$48,0)</f>
        <v>0</v>
      </c>
      <c r="BX31" s="495">
        <f>IF(SUM(BX20:BX29,BX53,BX54)&gt;0,'Cost data'!$C$48,0)</f>
        <v>0</v>
      </c>
      <c r="BY31" s="495">
        <f>IF(SUM(BY20:BY29,BY53,BY54)&gt;0,'Cost data'!$C$48,0)</f>
        <v>0</v>
      </c>
      <c r="BZ31" s="495">
        <f>IF(SUM(BZ20:BZ29,BZ53,BZ54)&gt;0,'Cost data'!$C$48,0)</f>
        <v>0</v>
      </c>
      <c r="CA31" s="496">
        <f>IF(SUM(CA20:CA29,CA53,CA54)&gt;0,'Cost data'!$C$48,0)</f>
        <v>0</v>
      </c>
      <c r="CB31" s="495">
        <f>IF(SUM(CB20:CB29,CB53,CB54)&gt;0,'Cost data'!$C$48,0)</f>
        <v>0</v>
      </c>
      <c r="CC31" s="495">
        <f>IF(SUM(CC20:CC29,CC53,CC54)&gt;0,'Cost data'!$C$48,0)</f>
        <v>0</v>
      </c>
      <c r="CD31" s="495">
        <f>IF(SUM(CD20:CD29,CD53,CD54)&gt;0,'Cost data'!$C$48,0)</f>
        <v>0</v>
      </c>
      <c r="CE31" s="495">
        <f>IF(SUM(CE20:CE29,CE53,CE54)&gt;0,'Cost data'!$C$48,0)</f>
        <v>0</v>
      </c>
      <c r="CF31" s="495">
        <f>IF(SUM(CF20:CF29,CF53,CF54)&gt;0,'Cost data'!$C$48,0)</f>
        <v>0</v>
      </c>
      <c r="CG31" s="495">
        <f>IF(SUM(CG20:CG29,CG53,CG54)&gt;0,'Cost data'!$C$48,0)</f>
        <v>0</v>
      </c>
      <c r="CH31" s="495">
        <f>IF(SUM(CH20:CH29,CH53,CH54)&gt;0,'Cost data'!$C$48,0)</f>
        <v>0</v>
      </c>
      <c r="CI31" s="495">
        <f>IF(SUM(CI20:CI29,CI53,CI54)&gt;0,'Cost data'!$C$48,0)</f>
        <v>0</v>
      </c>
      <c r="CJ31" s="495">
        <f>IF(SUM(CJ20:CJ29,CJ53,CJ54)&gt;0,'Cost data'!$C$48,0)</f>
        <v>0</v>
      </c>
      <c r="CK31" s="495">
        <f>IF(SUM(CK20:CK29,CK53,CK54)&gt;0,'Cost data'!$C$48,0)</f>
        <v>0</v>
      </c>
      <c r="CL31" s="495">
        <f>IF(SUM(CL20:CL29,CL53,CL54)&gt;0,'Cost data'!$C$48,0)</f>
        <v>0</v>
      </c>
      <c r="CM31" s="495">
        <f>IF(SUM(CM20:CM29,CM53,CM54)&gt;0,'Cost data'!$C$48,0)</f>
        <v>0</v>
      </c>
      <c r="CN31" s="495">
        <f>IF(SUM(CN20:CN29,CN53,CN54)&gt;0,'Cost data'!$C$48,0)</f>
        <v>0</v>
      </c>
      <c r="CO31" s="495">
        <f>IF(SUM(CO20:CO29,CO53,CO54)&gt;0,'Cost data'!$C$48,0)</f>
        <v>0</v>
      </c>
      <c r="CP31" s="495">
        <f>IF(SUM(CP20:CP29,CP53,CP54)&gt;0,'Cost data'!$C$48,0)</f>
        <v>0</v>
      </c>
      <c r="CQ31" s="495">
        <f>IF(SUM(CQ20:CQ29,CQ53,CQ54)&gt;0,'Cost data'!$C$48,0)</f>
        <v>0</v>
      </c>
      <c r="CR31" s="495">
        <f>IF(SUM(CR20:CR29,CR53,CR54)&gt;0,'Cost data'!$C$48,0)</f>
        <v>0</v>
      </c>
      <c r="CS31" s="495">
        <f>IF(SUM(CS20:CS29,CS53,CS54)&gt;0,'Cost data'!$C$48,0)</f>
        <v>0</v>
      </c>
      <c r="CT31" s="495">
        <f>IF(SUM(CT20:CT29,CT53,CT54)&gt;0,'Cost data'!$C$48,0)</f>
        <v>0</v>
      </c>
      <c r="CU31" s="495">
        <f>IF(SUM(CU20:CU29,CU53,CU54)&gt;0,'Cost data'!$C$48,0)</f>
        <v>0</v>
      </c>
      <c r="CV31" s="495">
        <f>IF(SUM(CV20:CV29,CV53,CV54)&gt;0,'Cost data'!$C$48,0)</f>
        <v>0</v>
      </c>
      <c r="CW31" s="495">
        <f>IF(SUM(CW20:CW29,CW53,CW54)&gt;0,'Cost data'!$C$48,0)</f>
        <v>0</v>
      </c>
      <c r="CX31" s="495">
        <f>IF(SUM(CX20:CX29,CX53,CX54)&gt;0,'Cost data'!$C$48,0)</f>
        <v>0</v>
      </c>
      <c r="CY31" s="497">
        <f>IF(SUM(CY20:CY29,CY53,CY54)&gt;0,'Cost data'!$C$48,0)</f>
        <v>0</v>
      </c>
    </row>
    <row r="32" spans="1:103" s="102" customFormat="1" ht="15" customHeight="1" x14ac:dyDescent="0.35">
      <c r="A32" s="897" t="s">
        <v>2</v>
      </c>
      <c r="B32" s="499"/>
      <c r="C32" s="500">
        <f>SUM(C6:C31)</f>
        <v>1695</v>
      </c>
      <c r="D32" s="499">
        <f>SUM(D6:D31)</f>
        <v>1695</v>
      </c>
      <c r="E32" s="499">
        <f t="shared" ref="E32:BP32" si="3">SUM(E6:E31)</f>
        <v>0</v>
      </c>
      <c r="F32" s="499">
        <f t="shared" si="3"/>
        <v>0</v>
      </c>
      <c r="G32" s="499">
        <f t="shared" si="3"/>
        <v>0</v>
      </c>
      <c r="H32" s="499">
        <f t="shared" si="3"/>
        <v>0</v>
      </c>
      <c r="I32" s="499">
        <f t="shared" si="3"/>
        <v>0</v>
      </c>
      <c r="J32" s="499">
        <f t="shared" si="3"/>
        <v>0</v>
      </c>
      <c r="K32" s="499">
        <f t="shared" si="3"/>
        <v>0</v>
      </c>
      <c r="L32" s="499">
        <f t="shared" si="3"/>
        <v>0</v>
      </c>
      <c r="M32" s="499">
        <f t="shared" si="3"/>
        <v>0</v>
      </c>
      <c r="N32" s="499">
        <f t="shared" si="3"/>
        <v>0</v>
      </c>
      <c r="O32" s="499">
        <f t="shared" si="3"/>
        <v>0</v>
      </c>
      <c r="P32" s="499">
        <f t="shared" si="3"/>
        <v>0</v>
      </c>
      <c r="Q32" s="499">
        <f t="shared" si="3"/>
        <v>0</v>
      </c>
      <c r="R32" s="499">
        <f t="shared" si="3"/>
        <v>0</v>
      </c>
      <c r="S32" s="499">
        <f t="shared" si="3"/>
        <v>0</v>
      </c>
      <c r="T32" s="499">
        <f t="shared" si="3"/>
        <v>0</v>
      </c>
      <c r="U32" s="499">
        <f t="shared" si="3"/>
        <v>0</v>
      </c>
      <c r="V32" s="499">
        <f t="shared" si="3"/>
        <v>0</v>
      </c>
      <c r="W32" s="499">
        <f t="shared" si="3"/>
        <v>0</v>
      </c>
      <c r="X32" s="499">
        <f t="shared" si="3"/>
        <v>0</v>
      </c>
      <c r="Y32" s="499">
        <f t="shared" si="3"/>
        <v>0</v>
      </c>
      <c r="Z32" s="499">
        <f t="shared" si="3"/>
        <v>0</v>
      </c>
      <c r="AA32" s="499">
        <f t="shared" si="3"/>
        <v>0</v>
      </c>
      <c r="AB32" s="499">
        <f t="shared" si="3"/>
        <v>0</v>
      </c>
      <c r="AC32" s="499">
        <f t="shared" si="3"/>
        <v>0</v>
      </c>
      <c r="AD32" s="499">
        <f t="shared" si="3"/>
        <v>0</v>
      </c>
      <c r="AE32" s="499">
        <f t="shared" si="3"/>
        <v>0</v>
      </c>
      <c r="AF32" s="499">
        <f t="shared" si="3"/>
        <v>0</v>
      </c>
      <c r="AG32" s="499">
        <f t="shared" si="3"/>
        <v>0</v>
      </c>
      <c r="AH32" s="499">
        <f t="shared" si="3"/>
        <v>0</v>
      </c>
      <c r="AI32" s="499">
        <f t="shared" si="3"/>
        <v>0</v>
      </c>
      <c r="AJ32" s="499">
        <f t="shared" si="3"/>
        <v>0</v>
      </c>
      <c r="AK32" s="499">
        <f t="shared" si="3"/>
        <v>0</v>
      </c>
      <c r="AL32" s="499">
        <f t="shared" si="3"/>
        <v>0</v>
      </c>
      <c r="AM32" s="499">
        <f t="shared" si="3"/>
        <v>0</v>
      </c>
      <c r="AN32" s="499">
        <f t="shared" si="3"/>
        <v>0</v>
      </c>
      <c r="AO32" s="501">
        <f t="shared" si="3"/>
        <v>0</v>
      </c>
      <c r="AP32" s="499">
        <f t="shared" si="3"/>
        <v>0</v>
      </c>
      <c r="AQ32" s="499">
        <f t="shared" si="3"/>
        <v>0</v>
      </c>
      <c r="AR32" s="499">
        <f t="shared" si="3"/>
        <v>0</v>
      </c>
      <c r="AS32" s="499">
        <f t="shared" si="3"/>
        <v>0</v>
      </c>
      <c r="AT32" s="499">
        <f t="shared" si="3"/>
        <v>0</v>
      </c>
      <c r="AU32" s="499">
        <f t="shared" si="3"/>
        <v>0</v>
      </c>
      <c r="AV32" s="499">
        <f t="shared" si="3"/>
        <v>0</v>
      </c>
      <c r="AW32" s="499">
        <f t="shared" si="3"/>
        <v>0</v>
      </c>
      <c r="AX32" s="499">
        <f t="shared" si="3"/>
        <v>0</v>
      </c>
      <c r="AY32" s="499">
        <f t="shared" si="3"/>
        <v>0</v>
      </c>
      <c r="AZ32" s="499">
        <f t="shared" si="3"/>
        <v>0</v>
      </c>
      <c r="BA32" s="499">
        <f t="shared" si="3"/>
        <v>0</v>
      </c>
      <c r="BB32" s="499">
        <f t="shared" si="3"/>
        <v>0</v>
      </c>
      <c r="BC32" s="499">
        <f t="shared" si="3"/>
        <v>0</v>
      </c>
      <c r="BD32" s="499">
        <f t="shared" si="3"/>
        <v>0</v>
      </c>
      <c r="BE32" s="499">
        <f t="shared" si="3"/>
        <v>0</v>
      </c>
      <c r="BF32" s="499">
        <f t="shared" si="3"/>
        <v>0</v>
      </c>
      <c r="BG32" s="499">
        <f t="shared" si="3"/>
        <v>0</v>
      </c>
      <c r="BH32" s="499">
        <f t="shared" si="3"/>
        <v>0</v>
      </c>
      <c r="BI32" s="499">
        <f t="shared" si="3"/>
        <v>0</v>
      </c>
      <c r="BJ32" s="499">
        <f t="shared" si="3"/>
        <v>0</v>
      </c>
      <c r="BK32" s="501">
        <f t="shared" si="3"/>
        <v>0</v>
      </c>
      <c r="BL32" s="499">
        <f t="shared" si="3"/>
        <v>0</v>
      </c>
      <c r="BM32" s="499">
        <f t="shared" si="3"/>
        <v>0</v>
      </c>
      <c r="BN32" s="499">
        <f t="shared" si="3"/>
        <v>0</v>
      </c>
      <c r="BO32" s="499">
        <f t="shared" si="3"/>
        <v>0</v>
      </c>
      <c r="BP32" s="499">
        <f t="shared" si="3"/>
        <v>0</v>
      </c>
      <c r="BQ32" s="499">
        <f t="shared" ref="BQ32:CY32" si="4">SUM(BQ6:BQ31)</f>
        <v>0</v>
      </c>
      <c r="BR32" s="499">
        <f t="shared" si="4"/>
        <v>0</v>
      </c>
      <c r="BS32" s="499">
        <f t="shared" si="4"/>
        <v>0</v>
      </c>
      <c r="BT32" s="499">
        <f t="shared" si="4"/>
        <v>0</v>
      </c>
      <c r="BU32" s="499">
        <f t="shared" si="4"/>
        <v>0</v>
      </c>
      <c r="BV32" s="499">
        <f t="shared" si="4"/>
        <v>0</v>
      </c>
      <c r="BW32" s="499">
        <f t="shared" si="4"/>
        <v>0</v>
      </c>
      <c r="BX32" s="499">
        <f t="shared" si="4"/>
        <v>0</v>
      </c>
      <c r="BY32" s="499">
        <f t="shared" si="4"/>
        <v>0</v>
      </c>
      <c r="BZ32" s="499">
        <f t="shared" si="4"/>
        <v>0</v>
      </c>
      <c r="CA32" s="501">
        <f t="shared" si="4"/>
        <v>0</v>
      </c>
      <c r="CB32" s="499">
        <f t="shared" si="4"/>
        <v>0</v>
      </c>
      <c r="CC32" s="499">
        <f t="shared" si="4"/>
        <v>0</v>
      </c>
      <c r="CD32" s="499">
        <f t="shared" si="4"/>
        <v>0</v>
      </c>
      <c r="CE32" s="499">
        <f t="shared" si="4"/>
        <v>0</v>
      </c>
      <c r="CF32" s="499">
        <f t="shared" si="4"/>
        <v>0</v>
      </c>
      <c r="CG32" s="499">
        <f t="shared" si="4"/>
        <v>0</v>
      </c>
      <c r="CH32" s="499">
        <f t="shared" si="4"/>
        <v>0</v>
      </c>
      <c r="CI32" s="499">
        <f t="shared" si="4"/>
        <v>0</v>
      </c>
      <c r="CJ32" s="499">
        <f t="shared" si="4"/>
        <v>0</v>
      </c>
      <c r="CK32" s="499">
        <f t="shared" si="4"/>
        <v>0</v>
      </c>
      <c r="CL32" s="499">
        <f t="shared" si="4"/>
        <v>0</v>
      </c>
      <c r="CM32" s="499">
        <f t="shared" si="4"/>
        <v>0</v>
      </c>
      <c r="CN32" s="499">
        <f t="shared" si="4"/>
        <v>0</v>
      </c>
      <c r="CO32" s="499">
        <f t="shared" si="4"/>
        <v>0</v>
      </c>
      <c r="CP32" s="499">
        <f t="shared" si="4"/>
        <v>0</v>
      </c>
      <c r="CQ32" s="499">
        <f t="shared" si="4"/>
        <v>0</v>
      </c>
      <c r="CR32" s="499">
        <f t="shared" si="4"/>
        <v>0</v>
      </c>
      <c r="CS32" s="499">
        <f t="shared" si="4"/>
        <v>0</v>
      </c>
      <c r="CT32" s="499">
        <f t="shared" si="4"/>
        <v>0</v>
      </c>
      <c r="CU32" s="499">
        <f t="shared" si="4"/>
        <v>0</v>
      </c>
      <c r="CV32" s="499">
        <f t="shared" si="4"/>
        <v>0</v>
      </c>
      <c r="CW32" s="499">
        <f t="shared" si="4"/>
        <v>0</v>
      </c>
      <c r="CX32" s="499">
        <f t="shared" si="4"/>
        <v>0</v>
      </c>
      <c r="CY32" s="502">
        <f t="shared" si="4"/>
        <v>0</v>
      </c>
    </row>
    <row r="33" spans="1:103" ht="15" customHeight="1" x14ac:dyDescent="0.35">
      <c r="A33" s="891" t="s">
        <v>432</v>
      </c>
      <c r="B33" s="288" t="s">
        <v>452</v>
      </c>
      <c r="C33" s="479">
        <f>SUM(D33:CY33)</f>
        <v>0</v>
      </c>
      <c r="D33" s="491"/>
      <c r="E33" s="503">
        <f>IF(E$4&lt;'Data entry'!$B$13,'Data entry'!$H$72,0)</f>
        <v>0</v>
      </c>
      <c r="F33" s="503">
        <f>IF(F$4&lt;'Data entry'!$B$13,'Data entry'!$H$72,0)</f>
        <v>0</v>
      </c>
      <c r="G33" s="503">
        <f>IF(G$4&lt;'Data entry'!$B$13,'Data entry'!$H$72,0)</f>
        <v>0</v>
      </c>
      <c r="H33" s="503">
        <f>IF(H$4&lt;'Data entry'!$B$13,'Data entry'!$H$72,0)</f>
        <v>0</v>
      </c>
      <c r="I33" s="503">
        <f>IF(I$4&lt;'Data entry'!$B$13,'Data entry'!$H$72,0)</f>
        <v>0</v>
      </c>
      <c r="J33" s="503">
        <f>IF(J$4&lt;'Data entry'!$B$13,'Data entry'!$H$72,0)</f>
        <v>0</v>
      </c>
      <c r="K33" s="503">
        <f>IF(K$4&lt;'Data entry'!$B$13,'Data entry'!$H$72,0)</f>
        <v>0</v>
      </c>
      <c r="L33" s="503">
        <f>IF(L$4&lt;'Data entry'!$B$13,'Data entry'!$H$72,0)</f>
        <v>0</v>
      </c>
      <c r="M33" s="503">
        <f>IF(M$4&lt;'Data entry'!$B$13,'Data entry'!$H$72,0)</f>
        <v>0</v>
      </c>
      <c r="N33" s="503">
        <f>IF(N$4&lt;'Data entry'!$B$13,'Data entry'!$H$72,0)</f>
        <v>0</v>
      </c>
      <c r="O33" s="503">
        <f>IF(O$4&lt;'Data entry'!$B$13,'Data entry'!$H$72,0)</f>
        <v>0</v>
      </c>
      <c r="P33" s="503">
        <f>IF(P$4&lt;'Data entry'!$B$13,'Data entry'!$H$72,0)</f>
        <v>0</v>
      </c>
      <c r="Q33" s="503">
        <f>IF(Q$4&lt;'Data entry'!$B$13,'Data entry'!$H$72,0)</f>
        <v>0</v>
      </c>
      <c r="R33" s="503">
        <f>IF(R$4&lt;'Data entry'!$B$13,'Data entry'!$H$72,0)</f>
        <v>0</v>
      </c>
      <c r="S33" s="503">
        <f>IF(S$4&lt;'Data entry'!$B$13,'Data entry'!$H$72,0)</f>
        <v>0</v>
      </c>
      <c r="T33" s="503">
        <f>IF(T$4&lt;'Data entry'!$B$13,'Data entry'!$H$72,0)</f>
        <v>0</v>
      </c>
      <c r="U33" s="503">
        <f>IF(U$4&lt;'Data entry'!$B$13,'Data entry'!$H$72,0)</f>
        <v>0</v>
      </c>
      <c r="V33" s="503">
        <f>IF(V$4&lt;'Data entry'!$B$13,'Data entry'!$H$72,0)</f>
        <v>0</v>
      </c>
      <c r="W33" s="503">
        <f>IF(W$4&lt;'Data entry'!$B$13,'Data entry'!$H$72,0)</f>
        <v>0</v>
      </c>
      <c r="X33" s="503">
        <f>IF(X$4&lt;'Data entry'!$B$13,'Data entry'!$H$72,0)</f>
        <v>0</v>
      </c>
      <c r="Y33" s="503">
        <f>IF(Y$4&lt;'Data entry'!$B$13,'Data entry'!$H$72,0)</f>
        <v>0</v>
      </c>
      <c r="Z33" s="503">
        <f>IF(Z$4&lt;'Data entry'!$B$13,'Data entry'!$H$72,0)</f>
        <v>0</v>
      </c>
      <c r="AA33" s="503">
        <f>IF(AA$4&lt;'Data entry'!$B$13,'Data entry'!$H$72,0)</f>
        <v>0</v>
      </c>
      <c r="AB33" s="503">
        <f>IF(AB$4&lt;'Data entry'!$B$13,'Data entry'!$H$72,0)</f>
        <v>0</v>
      </c>
      <c r="AC33" s="503">
        <f>IF(AC$4&lt;'Data entry'!$B$13,'Data entry'!$H$72,0)</f>
        <v>0</v>
      </c>
      <c r="AD33" s="503">
        <f>IF(AD$4&lt;'Data entry'!$B$13,'Data entry'!$H$72,0)</f>
        <v>0</v>
      </c>
      <c r="AE33" s="503">
        <f>IF(AE$4&lt;'Data entry'!$B$13,'Data entry'!$H$72,0)</f>
        <v>0</v>
      </c>
      <c r="AF33" s="503">
        <f>IF(AF$4&lt;'Data entry'!$B$13,'Data entry'!$H$72,0)</f>
        <v>0</v>
      </c>
      <c r="AG33" s="503">
        <f>IF(AG$4&lt;'Data entry'!$B$13,'Data entry'!$H$72,0)</f>
        <v>0</v>
      </c>
      <c r="AH33" s="503">
        <f>IF(AH$4&lt;'Data entry'!$B$13,'Data entry'!$H$72,0)</f>
        <v>0</v>
      </c>
      <c r="AI33" s="503">
        <f>IF(AI$4&lt;'Data entry'!$B$13,'Data entry'!$H$72,0)</f>
        <v>0</v>
      </c>
      <c r="AJ33" s="503">
        <f>IF(AJ$4&lt;'Data entry'!$B$13,'Data entry'!$H$72,0)</f>
        <v>0</v>
      </c>
      <c r="AK33" s="503">
        <f>IF(AK$4&lt;'Data entry'!$B$13,'Data entry'!$H$72,0)</f>
        <v>0</v>
      </c>
      <c r="AL33" s="503">
        <f>IF(AL$4&lt;'Data entry'!$B$13,'Data entry'!$H$72,0)</f>
        <v>0</v>
      </c>
      <c r="AM33" s="503">
        <f>IF(AM$4&lt;'Data entry'!$B$13,'Data entry'!$H$72,0)</f>
        <v>0</v>
      </c>
      <c r="AN33" s="503">
        <f>IF(AN$4&lt;'Data entry'!$B$13,'Data entry'!$H$72,0)</f>
        <v>0</v>
      </c>
      <c r="AO33" s="504">
        <f>IF(AO$4&lt;'Data entry'!$B$13,'Data entry'!$H$72,0)</f>
        <v>0</v>
      </c>
      <c r="AP33" s="503">
        <f>IF(AP$4&lt;'Data entry'!$B$13,'Data entry'!$H$72,0)</f>
        <v>0</v>
      </c>
      <c r="AQ33" s="503">
        <f>IF(AQ$4&lt;'Data entry'!$B$13,'Data entry'!$H$72,0)</f>
        <v>0</v>
      </c>
      <c r="AR33" s="503">
        <f>IF(AR$4&lt;'Data entry'!$B$13,'Data entry'!$H$72,0)</f>
        <v>0</v>
      </c>
      <c r="AS33" s="503">
        <f>IF(AS$4&lt;'Data entry'!$B$13,'Data entry'!$H$72,0)</f>
        <v>0</v>
      </c>
      <c r="AT33" s="503">
        <f>IF(AT$4&lt;'Data entry'!$B$13,'Data entry'!$H$72,0)</f>
        <v>0</v>
      </c>
      <c r="AU33" s="503">
        <f>IF(AU$4&lt;'Data entry'!$B$13,'Data entry'!$H$72,0)</f>
        <v>0</v>
      </c>
      <c r="AV33" s="503">
        <f>IF(AV$4&lt;'Data entry'!$B$13,'Data entry'!$H$72,0)</f>
        <v>0</v>
      </c>
      <c r="AW33" s="503">
        <f>IF(AW$4&lt;'Data entry'!$B$13,'Data entry'!$H$72,0)</f>
        <v>0</v>
      </c>
      <c r="AX33" s="503">
        <f>IF(AX$4&lt;'Data entry'!$B$13,'Data entry'!$H$72,0)</f>
        <v>0</v>
      </c>
      <c r="AY33" s="503">
        <f>IF(AY$4&lt;'Data entry'!$B$13,'Data entry'!$H$72,0)</f>
        <v>0</v>
      </c>
      <c r="AZ33" s="503">
        <f>IF(AZ$4&lt;'Data entry'!$B$13,'Data entry'!$H$72,0)</f>
        <v>0</v>
      </c>
      <c r="BA33" s="503">
        <f>IF(BA$4&lt;'Data entry'!$B$13,'Data entry'!$H$72,0)</f>
        <v>0</v>
      </c>
      <c r="BB33" s="503">
        <f>IF(BB$4&lt;'Data entry'!$B$13,'Data entry'!$H$72,0)</f>
        <v>0</v>
      </c>
      <c r="BC33" s="503">
        <f>IF(BC$4&lt;'Data entry'!$B$13,'Data entry'!$H$72,0)</f>
        <v>0</v>
      </c>
      <c r="BD33" s="503">
        <f>IF(BD$4&lt;'Data entry'!$B$13,'Data entry'!$H$72,0)</f>
        <v>0</v>
      </c>
      <c r="BE33" s="503">
        <f>IF(BE$4&lt;'Data entry'!$B$13,'Data entry'!$H$72,0)</f>
        <v>0</v>
      </c>
      <c r="BF33" s="503">
        <f>IF(BF$4&lt;'Data entry'!$B$13,'Data entry'!$H$72,0)</f>
        <v>0</v>
      </c>
      <c r="BG33" s="503">
        <f>IF(BG$4&lt;'Data entry'!$B$13,'Data entry'!$H$72,0)</f>
        <v>0</v>
      </c>
      <c r="BH33" s="503">
        <f>IF(BH$4&lt;'Data entry'!$B$13,'Data entry'!$H$72,0)</f>
        <v>0</v>
      </c>
      <c r="BI33" s="503">
        <f>IF(BI$4&lt;'Data entry'!$B$13,'Data entry'!$H$72,0)</f>
        <v>0</v>
      </c>
      <c r="BJ33" s="503">
        <f>IF(BJ$4&lt;'Data entry'!$B$13,'Data entry'!$H$72,0)</f>
        <v>0</v>
      </c>
      <c r="BK33" s="504">
        <f>IF(BK$4&lt;'Data entry'!$B$13,'Data entry'!$H$72,0)</f>
        <v>0</v>
      </c>
      <c r="BL33" s="503">
        <f>IF(BL$4&lt;'Data entry'!$B$13,'Data entry'!$H$72,0)</f>
        <v>0</v>
      </c>
      <c r="BM33" s="503">
        <f>IF(BM$4&lt;'Data entry'!$B$13,'Data entry'!$H$72,0)</f>
        <v>0</v>
      </c>
      <c r="BN33" s="503">
        <f>IF(BN$4&lt;'Data entry'!$B$13,'Data entry'!$H$72,0)</f>
        <v>0</v>
      </c>
      <c r="BO33" s="503">
        <f>IF(BO$4&lt;'Data entry'!$B$13,'Data entry'!$H$72,0)</f>
        <v>0</v>
      </c>
      <c r="BP33" s="503">
        <f>IF(BP$4&lt;'Data entry'!$B$13,'Data entry'!$H$72,0)</f>
        <v>0</v>
      </c>
      <c r="BQ33" s="503">
        <f>IF(BQ$4&lt;'Data entry'!$B$13,'Data entry'!$H$72,0)</f>
        <v>0</v>
      </c>
      <c r="BR33" s="503">
        <f>IF(BR$4&lt;'Data entry'!$B$13,'Data entry'!$H$72,0)</f>
        <v>0</v>
      </c>
      <c r="BS33" s="503">
        <f>IF(BS$4&lt;'Data entry'!$B$13,'Data entry'!$H$72,0)</f>
        <v>0</v>
      </c>
      <c r="BT33" s="503">
        <f>IF(BT$4&lt;'Data entry'!$B$13,'Data entry'!$H$72,0)</f>
        <v>0</v>
      </c>
      <c r="BU33" s="503">
        <f>IF(BU$4&lt;'Data entry'!$B$13,'Data entry'!$H$72,0)</f>
        <v>0</v>
      </c>
      <c r="BV33" s="503">
        <f>IF(BV$4&lt;'Data entry'!$B$13,'Data entry'!$H$72,0)</f>
        <v>0</v>
      </c>
      <c r="BW33" s="503">
        <f>IF(BW$4&lt;'Data entry'!$B$13,'Data entry'!$H$72,0)</f>
        <v>0</v>
      </c>
      <c r="BX33" s="503">
        <f>IF(BX$4&lt;'Data entry'!$B$13,'Data entry'!$H$72,0)</f>
        <v>0</v>
      </c>
      <c r="BY33" s="503">
        <f>IF(BY$4&lt;'Data entry'!$B$13,'Data entry'!$H$72,0)</f>
        <v>0</v>
      </c>
      <c r="BZ33" s="503">
        <f>IF(BZ$4&lt;'Data entry'!$B$13,'Data entry'!$H$72,0)</f>
        <v>0</v>
      </c>
      <c r="CA33" s="504">
        <f>IF(CA$4&lt;'Data entry'!$B$13,'Data entry'!$H$72,0)</f>
        <v>0</v>
      </c>
      <c r="CB33" s="503">
        <f>IF(CB$4&lt;'Data entry'!$B$13,'Data entry'!$H$72,0)</f>
        <v>0</v>
      </c>
      <c r="CC33" s="503">
        <f>IF(CC$4&lt;'Data entry'!$B$13,'Data entry'!$H$72,0)</f>
        <v>0</v>
      </c>
      <c r="CD33" s="503">
        <f>IF(CD$4&lt;'Data entry'!$B$13,'Data entry'!$H$72,0)</f>
        <v>0</v>
      </c>
      <c r="CE33" s="503">
        <f>IF(CE$4&lt;'Data entry'!$B$13,'Data entry'!$H$72,0)</f>
        <v>0</v>
      </c>
      <c r="CF33" s="503">
        <f>IF(CF$4&lt;'Data entry'!$B$13,'Data entry'!$H$72,0)</f>
        <v>0</v>
      </c>
      <c r="CG33" s="503">
        <f>IF(CG$4&lt;'Data entry'!$B$13,'Data entry'!$H$72,0)</f>
        <v>0</v>
      </c>
      <c r="CH33" s="503">
        <f>IF(CH$4&lt;'Data entry'!$B$13,'Data entry'!$H$72,0)</f>
        <v>0</v>
      </c>
      <c r="CI33" s="503">
        <f>IF(CI$4&lt;'Data entry'!$B$13,'Data entry'!$H$72,0)</f>
        <v>0</v>
      </c>
      <c r="CJ33" s="503">
        <f>IF(CJ$4&lt;'Data entry'!$B$13,'Data entry'!$H$72,0)</f>
        <v>0</v>
      </c>
      <c r="CK33" s="503">
        <f>IF(CK$4&lt;'Data entry'!$B$13,'Data entry'!$H$72,0)</f>
        <v>0</v>
      </c>
      <c r="CL33" s="503">
        <f>IF(CL$4&lt;'Data entry'!$B$13,'Data entry'!$H$72,0)</f>
        <v>0</v>
      </c>
      <c r="CM33" s="503">
        <f>IF(CM$4&lt;'Data entry'!$B$13,'Data entry'!$H$72,0)</f>
        <v>0</v>
      </c>
      <c r="CN33" s="503">
        <f>IF(CN$4&lt;'Data entry'!$B$13,'Data entry'!$H$72,0)</f>
        <v>0</v>
      </c>
      <c r="CO33" s="503">
        <f>IF(CO$4&lt;'Data entry'!$B$13,'Data entry'!$H$72,0)</f>
        <v>0</v>
      </c>
      <c r="CP33" s="503">
        <f>IF(CP$4&lt;'Data entry'!$B$13,'Data entry'!$H$72,0)</f>
        <v>0</v>
      </c>
      <c r="CQ33" s="503">
        <f>IF(CQ$4&lt;'Data entry'!$B$13,'Data entry'!$H$72,0)</f>
        <v>0</v>
      </c>
      <c r="CR33" s="503">
        <f>IF(CR$4&lt;'Data entry'!$B$13,'Data entry'!$H$72,0)</f>
        <v>0</v>
      </c>
      <c r="CS33" s="503">
        <f>IF(CS$4&lt;'Data entry'!$B$13,'Data entry'!$H$72,0)</f>
        <v>0</v>
      </c>
      <c r="CT33" s="503">
        <f>IF(CT$4&lt;'Data entry'!$B$13,'Data entry'!$H$72,0)</f>
        <v>0</v>
      </c>
      <c r="CU33" s="503">
        <f>IF(CU$4&lt;'Data entry'!$B$13,'Data entry'!$H$72,0)</f>
        <v>0</v>
      </c>
      <c r="CV33" s="503">
        <f>IF(CV$4&lt;'Data entry'!$B$13,'Data entry'!$H$72,0)</f>
        <v>0</v>
      </c>
      <c r="CW33" s="503">
        <f>IF(CW$4&lt;'Data entry'!$B$13,'Data entry'!$H$72,0)</f>
        <v>0</v>
      </c>
      <c r="CX33" s="503">
        <f>IF(CX$4&lt;'Data entry'!$B$13,'Data entry'!$H$72,0)</f>
        <v>0</v>
      </c>
      <c r="CY33" s="505">
        <f>IF(CY$4&lt;'Data entry'!$B$13,'Data entry'!$H$72,0)</f>
        <v>0</v>
      </c>
    </row>
    <row r="34" spans="1:103" ht="15" customHeight="1" x14ac:dyDescent="0.35">
      <c r="A34" s="892"/>
      <c r="B34" s="288" t="s">
        <v>8</v>
      </c>
      <c r="C34" s="479">
        <f>SUM(D34:CY34)</f>
        <v>0</v>
      </c>
      <c r="D34" s="503">
        <f>IF('Data entry'!$B$73="Yes",IF(D4&lt;'Data entry'!$B$13,'Data entry'!$B$59*VLOOKUP(Cashflow!D4+1,'Cost data'!$A$68:$E$167,2,FALSE)+'Data entry'!$B$60*VLOOKUP(Cashflow!D4+1,'Cost data'!$A$68:$E$167,3,FALSE)+'Data entry'!$B$61*VLOOKUP(Cashflow!D4+1,'Cost data'!$A$68:$E$167,4,FALSE)+SUM('Data entry'!$B$62,'Data entry'!$B$63,'Data entry'!$B$65,'Data entry'!$B$66,'Data entry'!$B$67)*'Cost data'!$C$47,0),0)</f>
        <v>0</v>
      </c>
      <c r="E34" s="503">
        <f>IF('Data entry'!$B$73="Yes",IF(E4&lt;'Data entry'!$B$13,'Data entry'!$B$59*VLOOKUP(Cashflow!E4+1,'Cost data'!$A$68:$E$167,2,FALSE)+'Data entry'!$B$60*VLOOKUP(Cashflow!E4+1,'Cost data'!$A$68:$E$167,3,FALSE)+'Data entry'!$B$61*VLOOKUP(Cashflow!E4+1,'Cost data'!$A$68:$E$167,4,FALSE)+SUM('Data entry'!$B$62,'Data entry'!$B$63,'Data entry'!$B$65,'Data entry'!$B$66,'Data entry'!$B$67)*'Cost data'!$C$47,0),0)</f>
        <v>0</v>
      </c>
      <c r="F34" s="503">
        <f>IF('Data entry'!$B$73="Yes",IF(F4&lt;'Data entry'!$B$13,'Data entry'!$B$59*VLOOKUP(Cashflow!F4+1,'Cost data'!$A$68:$E$167,2,FALSE)+'Data entry'!$B$60*VLOOKUP(Cashflow!F4+1,'Cost data'!$A$68:$E$167,3,FALSE)+'Data entry'!$B$61*VLOOKUP(Cashflow!F4+1,'Cost data'!$A$68:$E$167,4,FALSE)+SUM('Data entry'!$B$62,'Data entry'!$B$63,'Data entry'!$B$65,'Data entry'!$B$66,'Data entry'!$B$67)*'Cost data'!$C$47,0),0)</f>
        <v>0</v>
      </c>
      <c r="G34" s="503">
        <f>IF('Data entry'!$B$73="Yes",IF(G4&lt;'Data entry'!$B$13,'Data entry'!$B$59*VLOOKUP(Cashflow!G4+1,'Cost data'!$A$68:$E$167,2,FALSE)+'Data entry'!$B$60*VLOOKUP(Cashflow!G4+1,'Cost data'!$A$68:$E$167,3,FALSE)+'Data entry'!$B$61*VLOOKUP(Cashflow!G4+1,'Cost data'!$A$68:$E$167,4,FALSE)+SUM('Data entry'!$B$62,'Data entry'!$B$63,'Data entry'!$B$65,'Data entry'!$B$66,'Data entry'!$B$67)*'Cost data'!$C$47,0),0)</f>
        <v>0</v>
      </c>
      <c r="H34" s="503">
        <f>IF('Data entry'!$B$73="Yes",IF(H4&lt;'Data entry'!$B$13,'Data entry'!$B$59*VLOOKUP(Cashflow!H4+1,'Cost data'!$A$68:$E$167,2,FALSE)+'Data entry'!$B$60*VLOOKUP(Cashflow!H4+1,'Cost data'!$A$68:$E$167,3,FALSE)+'Data entry'!$B$61*VLOOKUP(Cashflow!H4+1,'Cost data'!$A$68:$E$167,4,FALSE)+SUM('Data entry'!$B$62,'Data entry'!$B$63,'Data entry'!$B$65,'Data entry'!$B$66,'Data entry'!$B$67)*'Cost data'!$C$47,0),0)</f>
        <v>0</v>
      </c>
      <c r="I34" s="503">
        <f>IF('Data entry'!$B$73="Yes",IF(I4&lt;'Data entry'!$B$13,'Data entry'!$B$59*VLOOKUP(Cashflow!I4+1,'Cost data'!$A$68:$E$167,2,FALSE)+'Data entry'!$B$60*VLOOKUP(Cashflow!I4+1,'Cost data'!$A$68:$E$167,3,FALSE)+'Data entry'!$B$61*VLOOKUP(Cashflow!I4+1,'Cost data'!$A$68:$E$167,4,FALSE)+SUM('Data entry'!$B$62,'Data entry'!$B$63,'Data entry'!$B$65,'Data entry'!$B$66,'Data entry'!$B$67)*'Cost data'!$C$47,0),0)</f>
        <v>0</v>
      </c>
      <c r="J34" s="503">
        <f>IF('Data entry'!$B$73="Yes",IF(J4&lt;'Data entry'!$B$13,'Data entry'!$B$59*VLOOKUP(Cashflow!J4+1,'Cost data'!$A$68:$E$167,2,FALSE)+'Data entry'!$B$60*VLOOKUP(Cashflow!J4+1,'Cost data'!$A$68:$E$167,3,FALSE)+'Data entry'!$B$61*VLOOKUP(Cashflow!J4+1,'Cost data'!$A$68:$E$167,4,FALSE)+SUM('Data entry'!$B$62,'Data entry'!$B$63,'Data entry'!$B$65,'Data entry'!$B$66,'Data entry'!$B$67)*'Cost data'!$C$47,0),0)</f>
        <v>0</v>
      </c>
      <c r="K34" s="503">
        <f>IF('Data entry'!$B$73="Yes",IF(K4&lt;'Data entry'!$B$13,'Data entry'!$B$59*VLOOKUP(Cashflow!K4+1,'Cost data'!$A$68:$E$167,2,FALSE)+'Data entry'!$B$60*VLOOKUP(Cashflow!K4+1,'Cost data'!$A$68:$E$167,3,FALSE)+'Data entry'!$B$61*VLOOKUP(Cashflow!K4+1,'Cost data'!$A$68:$E$167,4,FALSE)+SUM('Data entry'!$B$62,'Data entry'!$B$63,'Data entry'!$B$65,'Data entry'!$B$66,'Data entry'!$B$67)*'Cost data'!$C$47,0),0)</f>
        <v>0</v>
      </c>
      <c r="L34" s="503">
        <f>IF('Data entry'!$B$73="Yes",IF(L4&lt;'Data entry'!$B$13,'Data entry'!$B$59*VLOOKUP(Cashflow!L4+1,'Cost data'!$A$68:$E$167,2,FALSE)+'Data entry'!$B$60*VLOOKUP(Cashflow!L4+1,'Cost data'!$A$68:$E$167,3,FALSE)+'Data entry'!$B$61*VLOOKUP(Cashflow!L4+1,'Cost data'!$A$68:$E$167,4,FALSE)+SUM('Data entry'!$B$62,'Data entry'!$B$63,'Data entry'!$B$65,'Data entry'!$B$66,'Data entry'!$B$67)*'Cost data'!$C$47,0),0)</f>
        <v>0</v>
      </c>
      <c r="M34" s="503">
        <f>IF('Data entry'!$B$73="Yes",IF(M4&lt;'Data entry'!$B$13,'Data entry'!$B$59*VLOOKUP(Cashflow!M4+1,'Cost data'!$A$68:$E$167,2,FALSE)+'Data entry'!$B$60*VLOOKUP(Cashflow!M4+1,'Cost data'!$A$68:$E$167,3,FALSE)+'Data entry'!$B$61*VLOOKUP(Cashflow!M4+1,'Cost data'!$A$68:$E$167,4,FALSE)+SUM('Data entry'!$B$62,'Data entry'!$B$63,'Data entry'!$B$65,'Data entry'!$B$66,'Data entry'!$B$67)*'Cost data'!$C$47,0),0)</f>
        <v>0</v>
      </c>
      <c r="N34" s="503">
        <f>IF('Data entry'!$B$73="Yes",IF(N4&lt;'Data entry'!$B$13,'Data entry'!$B$59*VLOOKUP(Cashflow!N4+1,'Cost data'!$A$68:$E$167,2,FALSE)+'Data entry'!$B$60*VLOOKUP(Cashflow!N4+1,'Cost data'!$A$68:$E$167,3,FALSE)+'Data entry'!$B$61*VLOOKUP(Cashflow!N4+1,'Cost data'!$A$68:$E$167,4,FALSE)+SUM('Data entry'!$B$62,'Data entry'!$B$63,'Data entry'!$B$65,'Data entry'!$B$66,'Data entry'!$B$67)*'Cost data'!$C$47,0),0)</f>
        <v>0</v>
      </c>
      <c r="O34" s="503">
        <f>IF('Data entry'!$B$73="Yes",IF(O4&lt;'Data entry'!$B$13,'Data entry'!$B$59*VLOOKUP(Cashflow!O4+1,'Cost data'!$A$68:$E$167,2,FALSE)+'Data entry'!$B$60*VLOOKUP(Cashflow!O4+1,'Cost data'!$A$68:$E$167,3,FALSE)+'Data entry'!$B$61*VLOOKUP(Cashflow!O4+1,'Cost data'!$A$68:$E$167,4,FALSE)+SUM('Data entry'!$B$62,'Data entry'!$B$63,'Data entry'!$B$65,'Data entry'!$B$66,'Data entry'!$B$67)*'Cost data'!$C$47,0),0)</f>
        <v>0</v>
      </c>
      <c r="P34" s="503">
        <f>IF('Data entry'!$B$73="Yes",IF(P4&lt;'Data entry'!$B$13,'Data entry'!$B$59*VLOOKUP(Cashflow!P4+1,'Cost data'!$A$68:$E$167,2,FALSE)+'Data entry'!$B$60*VLOOKUP(Cashflow!P4+1,'Cost data'!$A$68:$E$167,3,FALSE)+'Data entry'!$B$61*VLOOKUP(Cashflow!P4+1,'Cost data'!$A$68:$E$167,4,FALSE)+SUM('Data entry'!$B$62,'Data entry'!$B$63,'Data entry'!$B$65,'Data entry'!$B$66,'Data entry'!$B$67)*'Cost data'!$C$47,0),0)</f>
        <v>0</v>
      </c>
      <c r="Q34" s="503">
        <f>IF('Data entry'!$B$73="Yes",IF(Q4&lt;'Data entry'!$B$13,'Data entry'!$B$59*VLOOKUP(Cashflow!Q4+1,'Cost data'!$A$68:$E$167,2,FALSE)+'Data entry'!$B$60*VLOOKUP(Cashflow!Q4+1,'Cost data'!$A$68:$E$167,3,FALSE)+'Data entry'!$B$61*VLOOKUP(Cashflow!Q4+1,'Cost data'!$A$68:$E$167,4,FALSE)+SUM('Data entry'!$B$62,'Data entry'!$B$63,'Data entry'!$B$65,'Data entry'!$B$66,'Data entry'!$B$67)*'Cost data'!$C$47,0),0)</f>
        <v>0</v>
      </c>
      <c r="R34" s="503">
        <f>IF('Data entry'!$B$73="Yes",IF(R4&lt;'Data entry'!$B$13,'Data entry'!$B$59*VLOOKUP(Cashflow!R4+1,'Cost data'!$A$68:$E$167,2,FALSE)+'Data entry'!$B$60*VLOOKUP(Cashflow!R4+1,'Cost data'!$A$68:$E$167,3,FALSE)+'Data entry'!$B$61*VLOOKUP(Cashflow!R4+1,'Cost data'!$A$68:$E$167,4,FALSE)+SUM('Data entry'!$B$62,'Data entry'!$B$63,'Data entry'!$B$65,'Data entry'!$B$66,'Data entry'!$B$67)*'Cost data'!$C$47,0),0)</f>
        <v>0</v>
      </c>
      <c r="S34" s="503">
        <f>IF('Data entry'!$B$73="Yes",IF(S4&lt;'Data entry'!$B$13,'Data entry'!$B$59*VLOOKUP(Cashflow!S4+1,'Cost data'!$A$68:$E$167,2,FALSE)+'Data entry'!$B$60*VLOOKUP(Cashflow!S4+1,'Cost data'!$A$68:$E$167,3,FALSE)+'Data entry'!$B$61*VLOOKUP(Cashflow!S4+1,'Cost data'!$A$68:$E$167,4,FALSE)+SUM('Data entry'!$B$62,'Data entry'!$B$63,'Data entry'!$B$65,'Data entry'!$B$66,'Data entry'!$B$67)*'Cost data'!$C$47,0),0)</f>
        <v>0</v>
      </c>
      <c r="T34" s="503">
        <f>IF('Data entry'!$B$73="Yes",IF(T4&lt;'Data entry'!$B$13,'Data entry'!$B$59*VLOOKUP(Cashflow!T4+1,'Cost data'!$A$68:$E$167,2,FALSE)+'Data entry'!$B$60*VLOOKUP(Cashflow!T4+1,'Cost data'!$A$68:$E$167,3,FALSE)+'Data entry'!$B$61*VLOOKUP(Cashflow!T4+1,'Cost data'!$A$68:$E$167,4,FALSE)+SUM('Data entry'!$B$62,'Data entry'!$B$63,'Data entry'!$B$65,'Data entry'!$B$66,'Data entry'!$B$67)*'Cost data'!$C$47,0),0)</f>
        <v>0</v>
      </c>
      <c r="U34" s="503">
        <f>IF('Data entry'!$B$73="Yes",IF(U4&lt;'Data entry'!$B$13,'Data entry'!$B$59*VLOOKUP(Cashflow!U4+1,'Cost data'!$A$68:$E$167,2,FALSE)+'Data entry'!$B$60*VLOOKUP(Cashflow!U4+1,'Cost data'!$A$68:$E$167,3,FALSE)+'Data entry'!$B$61*VLOOKUP(Cashflow!U4+1,'Cost data'!$A$68:$E$167,4,FALSE)+SUM('Data entry'!$B$62,'Data entry'!$B$63,'Data entry'!$B$65,'Data entry'!$B$66,'Data entry'!$B$67)*'Cost data'!$C$47,0),0)</f>
        <v>0</v>
      </c>
      <c r="V34" s="503">
        <f>IF('Data entry'!$B$73="Yes",IF(V4&lt;'Data entry'!$B$13,'Data entry'!$B$59*VLOOKUP(Cashflow!V4+1,'Cost data'!$A$68:$E$167,2,FALSE)+'Data entry'!$B$60*VLOOKUP(Cashflow!V4+1,'Cost data'!$A$68:$E$167,3,FALSE)+'Data entry'!$B$61*VLOOKUP(Cashflow!V4+1,'Cost data'!$A$68:$E$167,4,FALSE)+SUM('Data entry'!$B$62,'Data entry'!$B$63,'Data entry'!$B$65,'Data entry'!$B$66,'Data entry'!$B$67)*'Cost data'!$C$47,0),0)</f>
        <v>0</v>
      </c>
      <c r="W34" s="503">
        <f>IF('Data entry'!$B$73="Yes",IF(W4&lt;'Data entry'!$B$13,'Data entry'!$B$59*VLOOKUP(Cashflow!W4+1,'Cost data'!$A$68:$E$167,2,FALSE)+'Data entry'!$B$60*VLOOKUP(Cashflow!W4+1,'Cost data'!$A$68:$E$167,3,FALSE)+'Data entry'!$B$61*VLOOKUP(Cashflow!W4+1,'Cost data'!$A$68:$E$167,4,FALSE)+SUM('Data entry'!$B$62,'Data entry'!$B$63,'Data entry'!$B$65,'Data entry'!$B$66,'Data entry'!$B$67)*'Cost data'!$C$47,0),0)</f>
        <v>0</v>
      </c>
      <c r="X34" s="503">
        <f>IF('Data entry'!$B$73="Yes",IF(X4&lt;'Data entry'!$B$13,'Data entry'!$B$59*VLOOKUP(Cashflow!X4+1,'Cost data'!$A$68:$E$167,2,FALSE)+'Data entry'!$B$60*VLOOKUP(Cashflow!X4+1,'Cost data'!$A$68:$E$167,3,FALSE)+'Data entry'!$B$61*VLOOKUP(Cashflow!X4+1,'Cost data'!$A$68:$E$167,4,FALSE)+SUM('Data entry'!$B$62,'Data entry'!$B$63,'Data entry'!$B$65,'Data entry'!$B$66,'Data entry'!$B$67)*'Cost data'!$C$47,0),0)</f>
        <v>0</v>
      </c>
      <c r="Y34" s="503">
        <f>IF('Data entry'!$B$73="Yes",IF(Y4&lt;'Data entry'!$B$13,'Data entry'!$B$59*VLOOKUP(Cashflow!Y4+1,'Cost data'!$A$68:$E$167,2,FALSE)+'Data entry'!$B$60*VLOOKUP(Cashflow!Y4+1,'Cost data'!$A$68:$E$167,3,FALSE)+'Data entry'!$B$61*VLOOKUP(Cashflow!Y4+1,'Cost data'!$A$68:$E$167,4,FALSE)+SUM('Data entry'!$B$62,'Data entry'!$B$63,'Data entry'!$B$65,'Data entry'!$B$66,'Data entry'!$B$67)*'Cost data'!$C$47,0),0)</f>
        <v>0</v>
      </c>
      <c r="Z34" s="503">
        <f>IF('Data entry'!$B$73="Yes",IF(Z4&lt;'Data entry'!$B$13,'Data entry'!$B$59*VLOOKUP(Cashflow!Z4+1,'Cost data'!$A$68:$E$167,2,FALSE)+'Data entry'!$B$60*VLOOKUP(Cashflow!Z4+1,'Cost data'!$A$68:$E$167,3,FALSE)+'Data entry'!$B$61*VLOOKUP(Cashflow!Z4+1,'Cost data'!$A$68:$E$167,4,FALSE)+SUM('Data entry'!$B$62,'Data entry'!$B$63,'Data entry'!$B$65,'Data entry'!$B$66,'Data entry'!$B$67)*'Cost data'!$C$47,0),0)</f>
        <v>0</v>
      </c>
      <c r="AA34" s="503">
        <f>IF('Data entry'!$B$73="Yes",IF(AA4&lt;'Data entry'!$B$13,'Data entry'!$B$59*VLOOKUP(Cashflow!AA4+1,'Cost data'!$A$68:$E$167,2,FALSE)+'Data entry'!$B$60*VLOOKUP(Cashflow!AA4+1,'Cost data'!$A$68:$E$167,3,FALSE)+'Data entry'!$B$61*VLOOKUP(Cashflow!AA4+1,'Cost data'!$A$68:$E$167,4,FALSE)+SUM('Data entry'!$B$62,'Data entry'!$B$63,'Data entry'!$B$65,'Data entry'!$B$66,'Data entry'!$B$67)*'Cost data'!$C$47,0),0)</f>
        <v>0</v>
      </c>
      <c r="AB34" s="503">
        <f>IF('Data entry'!$B$73="Yes",IF(AB4&lt;'Data entry'!$B$13,'Data entry'!$B$59*VLOOKUP(Cashflow!AB4+1,'Cost data'!$A$68:$E$167,2,FALSE)+'Data entry'!$B$60*VLOOKUP(Cashflow!AB4+1,'Cost data'!$A$68:$E$167,3,FALSE)+'Data entry'!$B$61*VLOOKUP(Cashflow!AB4+1,'Cost data'!$A$68:$E$167,4,FALSE)+SUM('Data entry'!$B$62,'Data entry'!$B$63,'Data entry'!$B$65,'Data entry'!$B$66,'Data entry'!$B$67)*'Cost data'!$C$47,0),0)</f>
        <v>0</v>
      </c>
      <c r="AC34" s="503">
        <f>IF('Data entry'!$B$73="Yes",IF(AC4&lt;'Data entry'!$B$13,'Data entry'!$B$59*VLOOKUP(Cashflow!AC4+1,'Cost data'!$A$68:$E$167,2,FALSE)+'Data entry'!$B$60*VLOOKUP(Cashflow!AC4+1,'Cost data'!$A$68:$E$167,3,FALSE)+'Data entry'!$B$61*VLOOKUP(Cashflow!AC4+1,'Cost data'!$A$68:$E$167,4,FALSE)+SUM('Data entry'!$B$62,'Data entry'!$B$63,'Data entry'!$B$65,'Data entry'!$B$66,'Data entry'!$B$67)*'Cost data'!$C$47,0),0)</f>
        <v>0</v>
      </c>
      <c r="AD34" s="503">
        <f>IF('Data entry'!$B$73="Yes",IF(AD4&lt;'Data entry'!$B$13,'Data entry'!$B$59*VLOOKUP(Cashflow!AD4+1,'Cost data'!$A$68:$E$167,2,FALSE)+'Data entry'!$B$60*VLOOKUP(Cashflow!AD4+1,'Cost data'!$A$68:$E$167,3,FALSE)+'Data entry'!$B$61*VLOOKUP(Cashflow!AD4+1,'Cost data'!$A$68:$E$167,4,FALSE)+SUM('Data entry'!$B$62,'Data entry'!$B$63,'Data entry'!$B$65,'Data entry'!$B$66,'Data entry'!$B$67)*'Cost data'!$C$47,0),0)</f>
        <v>0</v>
      </c>
      <c r="AE34" s="503">
        <f>IF('Data entry'!$B$73="Yes",IF(AE4&lt;'Data entry'!$B$13,'Data entry'!$B$59*VLOOKUP(Cashflow!AE4+1,'Cost data'!$A$68:$E$167,2,FALSE)+'Data entry'!$B$60*VLOOKUP(Cashflow!AE4+1,'Cost data'!$A$68:$E$167,3,FALSE)+'Data entry'!$B$61*VLOOKUP(Cashflow!AE4+1,'Cost data'!$A$68:$E$167,4,FALSE)+SUM('Data entry'!$B$62,'Data entry'!$B$63,'Data entry'!$B$65,'Data entry'!$B$66,'Data entry'!$B$67)*'Cost data'!$C$47,0),0)</f>
        <v>0</v>
      </c>
      <c r="AF34" s="503">
        <f>IF('Data entry'!$B$73="Yes",IF(AF4&lt;'Data entry'!$B$13,'Data entry'!$B$59*VLOOKUP(Cashflow!AF4+1,'Cost data'!$A$68:$E$167,2,FALSE)+'Data entry'!$B$60*VLOOKUP(Cashflow!AF4+1,'Cost data'!$A$68:$E$167,3,FALSE)+'Data entry'!$B$61*VLOOKUP(Cashflow!AF4+1,'Cost data'!$A$68:$E$167,4,FALSE)+SUM('Data entry'!$B$62,'Data entry'!$B$63,'Data entry'!$B$65,'Data entry'!$B$66,'Data entry'!$B$67)*'Cost data'!$C$47,0),0)</f>
        <v>0</v>
      </c>
      <c r="AG34" s="503">
        <f>IF('Data entry'!$B$73="Yes",IF(AG4&lt;'Data entry'!$B$13,'Data entry'!$B$59*VLOOKUP(Cashflow!AG4+1,'Cost data'!$A$68:$E$167,2,FALSE)+'Data entry'!$B$60*VLOOKUP(Cashflow!AG4+1,'Cost data'!$A$68:$E$167,3,FALSE)+'Data entry'!$B$61*VLOOKUP(Cashflow!AG4+1,'Cost data'!$A$68:$E$167,4,FALSE)+SUM('Data entry'!$B$62,'Data entry'!$B$63,'Data entry'!$B$65,'Data entry'!$B$66,'Data entry'!$B$67)*'Cost data'!$C$47,0),0)</f>
        <v>0</v>
      </c>
      <c r="AH34" s="503">
        <f>IF('Data entry'!$B$73="Yes",IF(AH4&lt;'Data entry'!$B$13,'Data entry'!$B$59*VLOOKUP(Cashflow!AH4+1,'Cost data'!$A$68:$E$167,2,FALSE)+'Data entry'!$B$60*VLOOKUP(Cashflow!AH4+1,'Cost data'!$A$68:$E$167,3,FALSE)+'Data entry'!$B$61*VLOOKUP(Cashflow!AH4+1,'Cost data'!$A$68:$E$167,4,FALSE)+SUM('Data entry'!$B$62,'Data entry'!$B$63,'Data entry'!$B$65,'Data entry'!$B$66,'Data entry'!$B$67)*'Cost data'!$C$47,0),0)</f>
        <v>0</v>
      </c>
      <c r="AI34" s="503">
        <f>IF('Data entry'!$B$73="Yes",IF(AI4&lt;'Data entry'!$B$13,'Data entry'!$B$59*VLOOKUP(Cashflow!AI4+1,'Cost data'!$A$68:$E$167,2,FALSE)+'Data entry'!$B$60*VLOOKUP(Cashflow!AI4+1,'Cost data'!$A$68:$E$167,3,FALSE)+'Data entry'!$B$61*VLOOKUP(Cashflow!AI4+1,'Cost data'!$A$68:$E$167,4,FALSE)+SUM('Data entry'!$B$62,'Data entry'!$B$63,'Data entry'!$B$65,'Data entry'!$B$66,'Data entry'!$B$67)*'Cost data'!$C$47,0),0)</f>
        <v>0</v>
      </c>
      <c r="AJ34" s="503">
        <f>IF('Data entry'!$B$73="Yes",IF(AJ4&lt;'Data entry'!$B$13,'Data entry'!$B$59*VLOOKUP(Cashflow!AJ4+1,'Cost data'!$A$68:$E$167,2,FALSE)+'Data entry'!$B$60*VLOOKUP(Cashflow!AJ4+1,'Cost data'!$A$68:$E$167,3,FALSE)+'Data entry'!$B$61*VLOOKUP(Cashflow!AJ4+1,'Cost data'!$A$68:$E$167,4,FALSE)+SUM('Data entry'!$B$62,'Data entry'!$B$63,'Data entry'!$B$65,'Data entry'!$B$66,'Data entry'!$B$67)*'Cost data'!$C$47,0),0)</f>
        <v>0</v>
      </c>
      <c r="AK34" s="503">
        <f>IF('Data entry'!$B$73="Yes",IF(AK4&lt;'Data entry'!$B$13,'Data entry'!$B$59*VLOOKUP(Cashflow!AK4+1,'Cost data'!$A$68:$E$167,2,FALSE)+'Data entry'!$B$60*VLOOKUP(Cashflow!AK4+1,'Cost data'!$A$68:$E$167,3,FALSE)+'Data entry'!$B$61*VLOOKUP(Cashflow!AK4+1,'Cost data'!$A$68:$E$167,4,FALSE)+SUM('Data entry'!$B$62,'Data entry'!$B$63,'Data entry'!$B$65,'Data entry'!$B$66,'Data entry'!$B$67)*'Cost data'!$C$47,0),0)</f>
        <v>0</v>
      </c>
      <c r="AL34" s="503">
        <f>IF('Data entry'!$B$73="Yes",IF(AL4&lt;'Data entry'!$B$13,'Data entry'!$B$59*VLOOKUP(Cashflow!AL4+1,'Cost data'!$A$68:$E$167,2,FALSE)+'Data entry'!$B$60*VLOOKUP(Cashflow!AL4+1,'Cost data'!$A$68:$E$167,3,FALSE)+'Data entry'!$B$61*VLOOKUP(Cashflow!AL4+1,'Cost data'!$A$68:$E$167,4,FALSE)+SUM('Data entry'!$B$62,'Data entry'!$B$63,'Data entry'!$B$65,'Data entry'!$B$66,'Data entry'!$B$67)*'Cost data'!$C$47,0),0)</f>
        <v>0</v>
      </c>
      <c r="AM34" s="503">
        <f>IF('Data entry'!$B$73="Yes",IF(AM4&lt;'Data entry'!$B$13,'Data entry'!$B$59*VLOOKUP(Cashflow!AM4+1,'Cost data'!$A$68:$E$167,2,FALSE)+'Data entry'!$B$60*VLOOKUP(Cashflow!AM4+1,'Cost data'!$A$68:$E$167,3,FALSE)+'Data entry'!$B$61*VLOOKUP(Cashflow!AM4+1,'Cost data'!$A$68:$E$167,4,FALSE)+SUM('Data entry'!$B$62,'Data entry'!$B$63,'Data entry'!$B$65,'Data entry'!$B$66,'Data entry'!$B$67)*'Cost data'!$C$47,0),0)</f>
        <v>0</v>
      </c>
      <c r="AN34" s="503">
        <f>IF('Data entry'!$B$73="Yes",IF(AN4&lt;'Data entry'!$B$13,'Data entry'!$B$59*VLOOKUP(Cashflow!AN4+1,'Cost data'!$A$68:$E$167,2,FALSE)+'Data entry'!$B$60*VLOOKUP(Cashflow!AN4+1,'Cost data'!$A$68:$E$167,3,FALSE)+'Data entry'!$B$61*VLOOKUP(Cashflow!AN4+1,'Cost data'!$A$68:$E$167,4,FALSE)+SUM('Data entry'!$B$62,'Data entry'!$B$63,'Data entry'!$B$65,'Data entry'!$B$66,'Data entry'!$B$67)*'Cost data'!$C$47,0),0)</f>
        <v>0</v>
      </c>
      <c r="AO34" s="504">
        <f>IF('Data entry'!$B$73="Yes",IF(AO4&lt;'Data entry'!$B$13,'Data entry'!$B$59*VLOOKUP(Cashflow!AO4+1,'Cost data'!$A$68:$E$167,2,FALSE)+'Data entry'!$B$60*VLOOKUP(Cashflow!AO4+1,'Cost data'!$A$68:$E$167,3,FALSE)+'Data entry'!$B$61*VLOOKUP(Cashflow!AO4+1,'Cost data'!$A$68:$E$167,4,FALSE)+SUM('Data entry'!$B$62,'Data entry'!$B$63,'Data entry'!$B$65,'Data entry'!$B$66,'Data entry'!$B$67)*'Cost data'!$C$47,0),0)</f>
        <v>0</v>
      </c>
      <c r="AP34" s="503">
        <f>IF('Data entry'!$B$73="Yes",IF(AP4&lt;'Data entry'!$B$13,'Data entry'!$B$59*VLOOKUP(Cashflow!AP4+1,'Cost data'!$A$68:$E$167,2,FALSE)+'Data entry'!$B$60*VLOOKUP(Cashflow!AP4+1,'Cost data'!$A$68:$E$167,3,FALSE)+'Data entry'!$B$61*VLOOKUP(Cashflow!AP4+1,'Cost data'!$A$68:$E$167,4,FALSE)+SUM('Data entry'!$B$62,'Data entry'!$B$63,'Data entry'!$B$65,'Data entry'!$B$66,'Data entry'!$B$67)*'Cost data'!$C$47,0),0)</f>
        <v>0</v>
      </c>
      <c r="AQ34" s="503">
        <f>IF('Data entry'!$B$73="Yes",IF(AQ4&lt;'Data entry'!$B$13,'Data entry'!$B$59*VLOOKUP(Cashflow!AQ4+1,'Cost data'!$A$68:$E$167,2,FALSE)+'Data entry'!$B$60*VLOOKUP(Cashflow!AQ4+1,'Cost data'!$A$68:$E$167,3,FALSE)+'Data entry'!$B$61*VLOOKUP(Cashflow!AQ4+1,'Cost data'!$A$68:$E$167,4,FALSE)+SUM('Data entry'!$B$62,'Data entry'!$B$63,'Data entry'!$B$65,'Data entry'!$B$66,'Data entry'!$B$67)*'Cost data'!$C$47,0),0)</f>
        <v>0</v>
      </c>
      <c r="AR34" s="503">
        <f>IF('Data entry'!$B$73="Yes",IF(AR4&lt;'Data entry'!$B$13,'Data entry'!$B$59*VLOOKUP(Cashflow!AR4+1,'Cost data'!$A$68:$E$167,2,FALSE)+'Data entry'!$B$60*VLOOKUP(Cashflow!AR4+1,'Cost data'!$A$68:$E$167,3,FALSE)+'Data entry'!$B$61*VLOOKUP(Cashflow!AR4+1,'Cost data'!$A$68:$E$167,4,FALSE)+SUM('Data entry'!$B$62,'Data entry'!$B$63,'Data entry'!$B$65,'Data entry'!$B$66,'Data entry'!$B$67)*'Cost data'!$C$47,0),0)</f>
        <v>0</v>
      </c>
      <c r="AS34" s="503">
        <f>IF('Data entry'!$B$73="Yes",IF(AS4&lt;'Data entry'!$B$13,'Data entry'!$B$59*VLOOKUP(Cashflow!AS4+1,'Cost data'!$A$68:$E$167,2,FALSE)+'Data entry'!$B$60*VLOOKUP(Cashflow!AS4+1,'Cost data'!$A$68:$E$167,3,FALSE)+'Data entry'!$B$61*VLOOKUP(Cashflow!AS4+1,'Cost data'!$A$68:$E$167,4,FALSE)+SUM('Data entry'!$B$62,'Data entry'!$B$63,'Data entry'!$B$65,'Data entry'!$B$66,'Data entry'!$B$67)*'Cost data'!$C$47,0),0)</f>
        <v>0</v>
      </c>
      <c r="AT34" s="503">
        <f>IF('Data entry'!$B$73="Yes",IF(AT4&lt;'Data entry'!$B$13,'Data entry'!$B$59*VLOOKUP(Cashflow!AT4+1,'Cost data'!$A$68:$E$167,2,FALSE)+'Data entry'!$B$60*VLOOKUP(Cashflow!AT4+1,'Cost data'!$A$68:$E$167,3,FALSE)+'Data entry'!$B$61*VLOOKUP(Cashflow!AT4+1,'Cost data'!$A$68:$E$167,4,FALSE)+SUM('Data entry'!$B$62,'Data entry'!$B$63,'Data entry'!$B$65,'Data entry'!$B$66,'Data entry'!$B$67)*'Cost data'!$C$47,0),0)</f>
        <v>0</v>
      </c>
      <c r="AU34" s="503">
        <f>IF('Data entry'!$B$73="Yes",IF(AU4&lt;'Data entry'!$B$13,'Data entry'!$B$59*VLOOKUP(Cashflow!AU4+1,'Cost data'!$A$68:$E$167,2,FALSE)+'Data entry'!$B$60*VLOOKUP(Cashflow!AU4+1,'Cost data'!$A$68:$E$167,3,FALSE)+'Data entry'!$B$61*VLOOKUP(Cashflow!AU4+1,'Cost data'!$A$68:$E$167,4,FALSE)+SUM('Data entry'!$B$62,'Data entry'!$B$63,'Data entry'!$B$65,'Data entry'!$B$66,'Data entry'!$B$67)*'Cost data'!$C$47,0),0)</f>
        <v>0</v>
      </c>
      <c r="AV34" s="503">
        <f>IF('Data entry'!$B$73="Yes",IF(AV4&lt;'Data entry'!$B$13,'Data entry'!$B$59*VLOOKUP(Cashflow!AV4+1,'Cost data'!$A$68:$E$167,2,FALSE)+'Data entry'!$B$60*VLOOKUP(Cashflow!AV4+1,'Cost data'!$A$68:$E$167,3,FALSE)+'Data entry'!$B$61*VLOOKUP(Cashflow!AV4+1,'Cost data'!$A$68:$E$167,4,FALSE)+SUM('Data entry'!$B$62,'Data entry'!$B$63,'Data entry'!$B$65,'Data entry'!$B$66,'Data entry'!$B$67)*'Cost data'!$C$47,0),0)</f>
        <v>0</v>
      </c>
      <c r="AW34" s="503">
        <f>IF('Data entry'!$B$73="Yes",IF(AW4&lt;'Data entry'!$B$13,'Data entry'!$B$59*VLOOKUP(Cashflow!AW4+1,'Cost data'!$A$68:$E$167,2,FALSE)+'Data entry'!$B$60*VLOOKUP(Cashflow!AW4+1,'Cost data'!$A$68:$E$167,3,FALSE)+'Data entry'!$B$61*VLOOKUP(Cashflow!AW4+1,'Cost data'!$A$68:$E$167,4,FALSE)+SUM('Data entry'!$B$62,'Data entry'!$B$63,'Data entry'!$B$65,'Data entry'!$B$66,'Data entry'!$B$67)*'Cost data'!$C$47,0),0)</f>
        <v>0</v>
      </c>
      <c r="AX34" s="503">
        <f>IF('Data entry'!$B$73="Yes",IF(AX4&lt;'Data entry'!$B$13,'Data entry'!$B$59*VLOOKUP(Cashflow!AX4+1,'Cost data'!$A$68:$E$167,2,FALSE)+'Data entry'!$B$60*VLOOKUP(Cashflow!AX4+1,'Cost data'!$A$68:$E$167,3,FALSE)+'Data entry'!$B$61*VLOOKUP(Cashflow!AX4+1,'Cost data'!$A$68:$E$167,4,FALSE)+SUM('Data entry'!$B$62,'Data entry'!$B$63,'Data entry'!$B$65,'Data entry'!$B$66,'Data entry'!$B$67)*'Cost data'!$C$47,0),0)</f>
        <v>0</v>
      </c>
      <c r="AY34" s="503">
        <f>IF('Data entry'!$B$73="Yes",IF(AY4&lt;'Data entry'!$B$13,'Data entry'!$B$59*VLOOKUP(Cashflow!AY4+1,'Cost data'!$A$68:$E$167,2,FALSE)+'Data entry'!$B$60*VLOOKUP(Cashflow!AY4+1,'Cost data'!$A$68:$E$167,3,FALSE)+'Data entry'!$B$61*VLOOKUP(Cashflow!AY4+1,'Cost data'!$A$68:$E$167,4,FALSE)+SUM('Data entry'!$B$62,'Data entry'!$B$63,'Data entry'!$B$65,'Data entry'!$B$66,'Data entry'!$B$67)*'Cost data'!$C$47,0),0)</f>
        <v>0</v>
      </c>
      <c r="AZ34" s="503">
        <f>IF('Data entry'!$B$73="Yes",IF(AZ4&lt;'Data entry'!$B$13,'Data entry'!$B$59*VLOOKUP(Cashflow!AZ4+1,'Cost data'!$A$68:$E$167,2,FALSE)+'Data entry'!$B$60*VLOOKUP(Cashflow!AZ4+1,'Cost data'!$A$68:$E$167,3,FALSE)+'Data entry'!$B$61*VLOOKUP(Cashflow!AZ4+1,'Cost data'!$A$68:$E$167,4,FALSE)+SUM('Data entry'!$B$62,'Data entry'!$B$63,'Data entry'!$B$65,'Data entry'!$B$66,'Data entry'!$B$67)*'Cost data'!$C$47,0),0)</f>
        <v>0</v>
      </c>
      <c r="BA34" s="503">
        <f>IF('Data entry'!$B$73="Yes",IF(BA4&lt;'Data entry'!$B$13,'Data entry'!$B$59*VLOOKUP(Cashflow!BA4+1,'Cost data'!$A$68:$E$167,2,FALSE)+'Data entry'!$B$60*VLOOKUP(Cashflow!BA4+1,'Cost data'!$A$68:$E$167,3,FALSE)+'Data entry'!$B$61*VLOOKUP(Cashflow!BA4+1,'Cost data'!$A$68:$E$167,4,FALSE)+SUM('Data entry'!$B$62,'Data entry'!$B$63,'Data entry'!$B$65,'Data entry'!$B$66,'Data entry'!$B$67)*'Cost data'!$C$47,0),0)</f>
        <v>0</v>
      </c>
      <c r="BB34" s="503">
        <f>IF('Data entry'!$B$73="Yes",IF(BB4&lt;'Data entry'!$B$13,'Data entry'!$B$59*VLOOKUP(Cashflow!BB4+1,'Cost data'!$A$68:$E$167,2,FALSE)+'Data entry'!$B$60*VLOOKUP(Cashflow!BB4+1,'Cost data'!$A$68:$E$167,3,FALSE)+'Data entry'!$B$61*VLOOKUP(Cashflow!BB4+1,'Cost data'!$A$68:$E$167,4,FALSE)+SUM('Data entry'!$B$62,'Data entry'!$B$63,'Data entry'!$B$65,'Data entry'!$B$66,'Data entry'!$B$67)*'Cost data'!$C$47,0),0)</f>
        <v>0</v>
      </c>
      <c r="BC34" s="503">
        <f>IF('Data entry'!$B$73="Yes",IF(BC4&lt;'Data entry'!$B$13,'Data entry'!$B$59*VLOOKUP(Cashflow!BC4+1,'Cost data'!$A$68:$E$167,2,FALSE)+'Data entry'!$B$60*VLOOKUP(Cashflow!BC4+1,'Cost data'!$A$68:$E$167,3,FALSE)+'Data entry'!$B$61*VLOOKUP(Cashflow!BC4+1,'Cost data'!$A$68:$E$167,4,FALSE)+SUM('Data entry'!$B$62,'Data entry'!$B$63,'Data entry'!$B$65,'Data entry'!$B$66,'Data entry'!$B$67)*'Cost data'!$C$47,0),0)</f>
        <v>0</v>
      </c>
      <c r="BD34" s="503">
        <f>IF('Data entry'!$B$73="Yes",IF(BD4&lt;'Data entry'!$B$13,'Data entry'!$B$59*VLOOKUP(Cashflow!BD4+1,'Cost data'!$A$68:$E$167,2,FALSE)+'Data entry'!$B$60*VLOOKUP(Cashflow!BD4+1,'Cost data'!$A$68:$E$167,3,FALSE)+'Data entry'!$B$61*VLOOKUP(Cashflow!BD4+1,'Cost data'!$A$68:$E$167,4,FALSE)+SUM('Data entry'!$B$62,'Data entry'!$B$63,'Data entry'!$B$65,'Data entry'!$B$66,'Data entry'!$B$67)*'Cost data'!$C$47,0),0)</f>
        <v>0</v>
      </c>
      <c r="BE34" s="503">
        <f>IF('Data entry'!$B$73="Yes",IF(BE4&lt;'Data entry'!$B$13,'Data entry'!$B$59*VLOOKUP(Cashflow!BE4+1,'Cost data'!$A$68:$E$167,2,FALSE)+'Data entry'!$B$60*VLOOKUP(Cashflow!BE4+1,'Cost data'!$A$68:$E$167,3,FALSE)+'Data entry'!$B$61*VLOOKUP(Cashflow!BE4+1,'Cost data'!$A$68:$E$167,4,FALSE)+SUM('Data entry'!$B$62,'Data entry'!$B$63,'Data entry'!$B$65,'Data entry'!$B$66,'Data entry'!$B$67)*'Cost data'!$C$47,0),0)</f>
        <v>0</v>
      </c>
      <c r="BF34" s="503">
        <f>IF('Data entry'!$B$73="Yes",IF(BF4&lt;'Data entry'!$B$13,'Data entry'!$B$59*VLOOKUP(Cashflow!BF4+1,'Cost data'!$A$68:$E$167,2,FALSE)+'Data entry'!$B$60*VLOOKUP(Cashflow!BF4+1,'Cost data'!$A$68:$E$167,3,FALSE)+'Data entry'!$B$61*VLOOKUP(Cashflow!BF4+1,'Cost data'!$A$68:$E$167,4,FALSE)+SUM('Data entry'!$B$62,'Data entry'!$B$63,'Data entry'!$B$65,'Data entry'!$B$66,'Data entry'!$B$67)*'Cost data'!$C$47,0),0)</f>
        <v>0</v>
      </c>
      <c r="BG34" s="503">
        <f>IF('Data entry'!$B$73="Yes",IF(BG4&lt;'Data entry'!$B$13,'Data entry'!$B$59*VLOOKUP(Cashflow!BG4+1,'Cost data'!$A$68:$E$167,2,FALSE)+'Data entry'!$B$60*VLOOKUP(Cashflow!BG4+1,'Cost data'!$A$68:$E$167,3,FALSE)+'Data entry'!$B$61*VLOOKUP(Cashflow!BG4+1,'Cost data'!$A$68:$E$167,4,FALSE)+SUM('Data entry'!$B$62,'Data entry'!$B$63,'Data entry'!$B$65,'Data entry'!$B$66,'Data entry'!$B$67)*'Cost data'!$C$47,0),0)</f>
        <v>0</v>
      </c>
      <c r="BH34" s="503">
        <f>IF('Data entry'!$B$73="Yes",IF(BH4&lt;'Data entry'!$B$13,'Data entry'!$B$59*VLOOKUP(Cashflow!BH4+1,'Cost data'!$A$68:$E$167,2,FALSE)+'Data entry'!$B$60*VLOOKUP(Cashflow!BH4+1,'Cost data'!$A$68:$E$167,3,FALSE)+'Data entry'!$B$61*VLOOKUP(Cashflow!BH4+1,'Cost data'!$A$68:$E$167,4,FALSE)+SUM('Data entry'!$B$62,'Data entry'!$B$63,'Data entry'!$B$65,'Data entry'!$B$66,'Data entry'!$B$67)*'Cost data'!$C$47,0),0)</f>
        <v>0</v>
      </c>
      <c r="BI34" s="503">
        <f>IF('Data entry'!$B$73="Yes",IF(BI4&lt;'Data entry'!$B$13,'Data entry'!$B$59*VLOOKUP(Cashflow!BI4+1,'Cost data'!$A$68:$E$167,2,FALSE)+'Data entry'!$B$60*VLOOKUP(Cashflow!BI4+1,'Cost data'!$A$68:$E$167,3,FALSE)+'Data entry'!$B$61*VLOOKUP(Cashflow!BI4+1,'Cost data'!$A$68:$E$167,4,FALSE)+SUM('Data entry'!$B$62,'Data entry'!$B$63,'Data entry'!$B$65,'Data entry'!$B$66,'Data entry'!$B$67)*'Cost data'!$C$47,0),0)</f>
        <v>0</v>
      </c>
      <c r="BJ34" s="503">
        <f>IF('Data entry'!$B$73="Yes",IF(BJ4&lt;'Data entry'!$B$13,'Data entry'!$B$59*VLOOKUP(Cashflow!BJ4+1,'Cost data'!$A$68:$E$167,2,FALSE)+'Data entry'!$B$60*VLOOKUP(Cashflow!BJ4+1,'Cost data'!$A$68:$E$167,3,FALSE)+'Data entry'!$B$61*VLOOKUP(Cashflow!BJ4+1,'Cost data'!$A$68:$E$167,4,FALSE)+SUM('Data entry'!$B$62,'Data entry'!$B$63,'Data entry'!$B$65,'Data entry'!$B$66,'Data entry'!$B$67)*'Cost data'!$C$47,0),0)</f>
        <v>0</v>
      </c>
      <c r="BK34" s="504">
        <f>IF('Data entry'!$B$73="Yes",IF(BK4&lt;'Data entry'!$B$13,'Data entry'!$B$59*VLOOKUP(Cashflow!BK4+1,'Cost data'!$A$68:$E$167,2,FALSE)+'Data entry'!$B$60*VLOOKUP(Cashflow!BK4+1,'Cost data'!$A$68:$E$167,3,FALSE)+'Data entry'!$B$61*VLOOKUP(Cashflow!BK4+1,'Cost data'!$A$68:$E$167,4,FALSE)+SUM('Data entry'!$B$62,'Data entry'!$B$63,'Data entry'!$B$65,'Data entry'!$B$66,'Data entry'!$B$67)*'Cost data'!$C$47,0),0)</f>
        <v>0</v>
      </c>
      <c r="BL34" s="503">
        <f>IF('Data entry'!$B$73="Yes",IF(BL4&lt;'Data entry'!$B$13,'Data entry'!$B$59*VLOOKUP(Cashflow!BL4+1,'Cost data'!$A$68:$E$167,2,FALSE)+'Data entry'!$B$60*VLOOKUP(Cashflow!BL4+1,'Cost data'!$A$68:$E$167,3,FALSE)+'Data entry'!$B$61*VLOOKUP(Cashflow!BL4+1,'Cost data'!$A$68:$E$167,4,FALSE)+SUM('Data entry'!$B$62,'Data entry'!$B$63,'Data entry'!$B$65,'Data entry'!$B$66,'Data entry'!$B$67)*'Cost data'!$C$47,0),0)</f>
        <v>0</v>
      </c>
      <c r="BM34" s="503">
        <f>IF('Data entry'!$B$73="Yes",IF(BM4&lt;'Data entry'!$B$13,'Data entry'!$B$59*VLOOKUP(Cashflow!BM4+1,'Cost data'!$A$68:$E$167,2,FALSE)+'Data entry'!$B$60*VLOOKUP(Cashflow!BM4+1,'Cost data'!$A$68:$E$167,3,FALSE)+'Data entry'!$B$61*VLOOKUP(Cashflow!BM4+1,'Cost data'!$A$68:$E$167,4,FALSE)+SUM('Data entry'!$B$62,'Data entry'!$B$63,'Data entry'!$B$65,'Data entry'!$B$66,'Data entry'!$B$67)*'Cost data'!$C$47,0),0)</f>
        <v>0</v>
      </c>
      <c r="BN34" s="503">
        <f>IF('Data entry'!$B$73="Yes",IF(BN4&lt;'Data entry'!$B$13,'Data entry'!$B$59*VLOOKUP(Cashflow!BN4+1,'Cost data'!$A$68:$E$167,2,FALSE)+'Data entry'!$B$60*VLOOKUP(Cashflow!BN4+1,'Cost data'!$A$68:$E$167,3,FALSE)+'Data entry'!$B$61*VLOOKUP(Cashflow!BN4+1,'Cost data'!$A$68:$E$167,4,FALSE)+SUM('Data entry'!$B$62,'Data entry'!$B$63,'Data entry'!$B$65,'Data entry'!$B$66,'Data entry'!$B$67)*'Cost data'!$C$47,0),0)</f>
        <v>0</v>
      </c>
      <c r="BO34" s="503">
        <f>IF('Data entry'!$B$73="Yes",IF(BO4&lt;'Data entry'!$B$13,'Data entry'!$B$59*VLOOKUP(Cashflow!BO4+1,'Cost data'!$A$68:$E$167,2,FALSE)+'Data entry'!$B$60*VLOOKUP(Cashflow!BO4+1,'Cost data'!$A$68:$E$167,3,FALSE)+'Data entry'!$B$61*VLOOKUP(Cashflow!BO4+1,'Cost data'!$A$68:$E$167,4,FALSE)+SUM('Data entry'!$B$62,'Data entry'!$B$63,'Data entry'!$B$65,'Data entry'!$B$66,'Data entry'!$B$67)*'Cost data'!$C$47,0),0)</f>
        <v>0</v>
      </c>
      <c r="BP34" s="503">
        <f>IF('Data entry'!$B$73="Yes",IF(BP4&lt;'Data entry'!$B$13,'Data entry'!$B$59*VLOOKUP(Cashflow!BP4+1,'Cost data'!$A$68:$E$167,2,FALSE)+'Data entry'!$B$60*VLOOKUP(Cashflow!BP4+1,'Cost data'!$A$68:$E$167,3,FALSE)+'Data entry'!$B$61*VLOOKUP(Cashflow!BP4+1,'Cost data'!$A$68:$E$167,4,FALSE)+SUM('Data entry'!$B$62,'Data entry'!$B$63,'Data entry'!$B$65,'Data entry'!$B$66,'Data entry'!$B$67)*'Cost data'!$C$47,0),0)</f>
        <v>0</v>
      </c>
      <c r="BQ34" s="503">
        <f>IF('Data entry'!$B$73="Yes",IF(BQ4&lt;'Data entry'!$B$13,'Data entry'!$B$59*VLOOKUP(Cashflow!BQ4+1,'Cost data'!$A$68:$E$167,2,FALSE)+'Data entry'!$B$60*VLOOKUP(Cashflow!BQ4+1,'Cost data'!$A$68:$E$167,3,FALSE)+'Data entry'!$B$61*VLOOKUP(Cashflow!BQ4+1,'Cost data'!$A$68:$E$167,4,FALSE)+SUM('Data entry'!$B$62,'Data entry'!$B$63,'Data entry'!$B$65,'Data entry'!$B$66,'Data entry'!$B$67)*'Cost data'!$C$47,0),0)</f>
        <v>0</v>
      </c>
      <c r="BR34" s="503">
        <f>IF('Data entry'!$B$73="Yes",IF(BR4&lt;'Data entry'!$B$13,'Data entry'!$B$59*VLOOKUP(Cashflow!BR4+1,'Cost data'!$A$68:$E$167,2,FALSE)+'Data entry'!$B$60*VLOOKUP(Cashflow!BR4+1,'Cost data'!$A$68:$E$167,3,FALSE)+'Data entry'!$B$61*VLOOKUP(Cashflow!BR4+1,'Cost data'!$A$68:$E$167,4,FALSE)+SUM('Data entry'!$B$62,'Data entry'!$B$63,'Data entry'!$B$65,'Data entry'!$B$66,'Data entry'!$B$67)*'Cost data'!$C$47,0),0)</f>
        <v>0</v>
      </c>
      <c r="BS34" s="503">
        <f>IF('Data entry'!$B$73="Yes",IF(BS4&lt;'Data entry'!$B$13,'Data entry'!$B$59*VLOOKUP(Cashflow!BS4+1,'Cost data'!$A$68:$E$167,2,FALSE)+'Data entry'!$B$60*VLOOKUP(Cashflow!BS4+1,'Cost data'!$A$68:$E$167,3,FALSE)+'Data entry'!$B$61*VLOOKUP(Cashflow!BS4+1,'Cost data'!$A$68:$E$167,4,FALSE)+SUM('Data entry'!$B$62,'Data entry'!$B$63,'Data entry'!$B$65,'Data entry'!$B$66,'Data entry'!$B$67)*'Cost data'!$C$47,0),0)</f>
        <v>0</v>
      </c>
      <c r="BT34" s="503">
        <f>IF('Data entry'!$B$73="Yes",IF(BT4&lt;'Data entry'!$B$13,'Data entry'!$B$59*VLOOKUP(Cashflow!BT4+1,'Cost data'!$A$68:$E$167,2,FALSE)+'Data entry'!$B$60*VLOOKUP(Cashflow!BT4+1,'Cost data'!$A$68:$E$167,3,FALSE)+'Data entry'!$B$61*VLOOKUP(Cashflow!BT4+1,'Cost data'!$A$68:$E$167,4,FALSE)+SUM('Data entry'!$B$62,'Data entry'!$B$63,'Data entry'!$B$65,'Data entry'!$B$66,'Data entry'!$B$67)*'Cost data'!$C$47,0),0)</f>
        <v>0</v>
      </c>
      <c r="BU34" s="503">
        <f>IF('Data entry'!$B$73="Yes",IF(BU4&lt;'Data entry'!$B$13,'Data entry'!$B$59*VLOOKUP(Cashflow!BU4+1,'Cost data'!$A$68:$E$167,2,FALSE)+'Data entry'!$B$60*VLOOKUP(Cashflow!BU4+1,'Cost data'!$A$68:$E$167,3,FALSE)+'Data entry'!$B$61*VLOOKUP(Cashflow!BU4+1,'Cost data'!$A$68:$E$167,4,FALSE)+SUM('Data entry'!$B$62,'Data entry'!$B$63,'Data entry'!$B$65,'Data entry'!$B$66,'Data entry'!$B$67)*'Cost data'!$C$47,0),0)</f>
        <v>0</v>
      </c>
      <c r="BV34" s="503">
        <f>IF('Data entry'!$B$73="Yes",IF(BV4&lt;'Data entry'!$B$13,'Data entry'!$B$59*VLOOKUP(Cashflow!BV4+1,'Cost data'!$A$68:$E$167,2,FALSE)+'Data entry'!$B$60*VLOOKUP(Cashflow!BV4+1,'Cost data'!$A$68:$E$167,3,FALSE)+'Data entry'!$B$61*VLOOKUP(Cashflow!BV4+1,'Cost data'!$A$68:$E$167,4,FALSE)+SUM('Data entry'!$B$62,'Data entry'!$B$63,'Data entry'!$B$65,'Data entry'!$B$66,'Data entry'!$B$67)*'Cost data'!$C$47,0),0)</f>
        <v>0</v>
      </c>
      <c r="BW34" s="503">
        <f>IF('Data entry'!$B$73="Yes",IF(BW4&lt;'Data entry'!$B$13,'Data entry'!$B$59*VLOOKUP(Cashflow!BW4+1,'Cost data'!$A$68:$E$167,2,FALSE)+'Data entry'!$B$60*VLOOKUP(Cashflow!BW4+1,'Cost data'!$A$68:$E$167,3,FALSE)+'Data entry'!$B$61*VLOOKUP(Cashflow!BW4+1,'Cost data'!$A$68:$E$167,4,FALSE)+SUM('Data entry'!$B$62,'Data entry'!$B$63,'Data entry'!$B$65,'Data entry'!$B$66,'Data entry'!$B$67)*'Cost data'!$C$47,0),0)</f>
        <v>0</v>
      </c>
      <c r="BX34" s="503">
        <f>IF('Data entry'!$B$73="Yes",IF(BX4&lt;'Data entry'!$B$13,'Data entry'!$B$59*VLOOKUP(Cashflow!BX4+1,'Cost data'!$A$68:$E$167,2,FALSE)+'Data entry'!$B$60*VLOOKUP(Cashflow!BX4+1,'Cost data'!$A$68:$E$167,3,FALSE)+'Data entry'!$B$61*VLOOKUP(Cashflow!BX4+1,'Cost data'!$A$68:$E$167,4,FALSE)+SUM('Data entry'!$B$62,'Data entry'!$B$63,'Data entry'!$B$65,'Data entry'!$B$66,'Data entry'!$B$67)*'Cost data'!$C$47,0),0)</f>
        <v>0</v>
      </c>
      <c r="BY34" s="503">
        <f>IF('Data entry'!$B$73="Yes",IF(BY4&lt;'Data entry'!$B$13,'Data entry'!$B$59*VLOOKUP(Cashflow!BY4+1,'Cost data'!$A$68:$E$167,2,FALSE)+'Data entry'!$B$60*VLOOKUP(Cashflow!BY4+1,'Cost data'!$A$68:$E$167,3,FALSE)+'Data entry'!$B$61*VLOOKUP(Cashflow!BY4+1,'Cost data'!$A$68:$E$167,4,FALSE)+SUM('Data entry'!$B$62,'Data entry'!$B$63,'Data entry'!$B$65,'Data entry'!$B$66,'Data entry'!$B$67)*'Cost data'!$C$47,0),0)</f>
        <v>0</v>
      </c>
      <c r="BZ34" s="503">
        <f>IF('Data entry'!$B$73="Yes",IF(BZ4&lt;'Data entry'!$B$13,'Data entry'!$B$59*VLOOKUP(Cashflow!BZ4+1,'Cost data'!$A$68:$E$167,2,FALSE)+'Data entry'!$B$60*VLOOKUP(Cashflow!BZ4+1,'Cost data'!$A$68:$E$167,3,FALSE)+'Data entry'!$B$61*VLOOKUP(Cashflow!BZ4+1,'Cost data'!$A$68:$E$167,4,FALSE)+SUM('Data entry'!$B$62,'Data entry'!$B$63,'Data entry'!$B$65,'Data entry'!$B$66,'Data entry'!$B$67)*'Cost data'!$C$47,0),0)</f>
        <v>0</v>
      </c>
      <c r="CA34" s="504">
        <f>IF('Data entry'!$B$73="Yes",IF(CA4&lt;'Data entry'!$B$13,'Data entry'!$B$59*VLOOKUP(Cashflow!CA4+1,'Cost data'!$A$68:$E$167,2,FALSE)+'Data entry'!$B$60*VLOOKUP(Cashflow!CA4+1,'Cost data'!$A$68:$E$167,3,FALSE)+'Data entry'!$B$61*VLOOKUP(Cashflow!CA4+1,'Cost data'!$A$68:$E$167,4,FALSE)+SUM('Data entry'!$B$62,'Data entry'!$B$63,'Data entry'!$B$65,'Data entry'!$B$66,'Data entry'!$B$67)*'Cost data'!$C$47,0),0)</f>
        <v>0</v>
      </c>
      <c r="CB34" s="503">
        <f>IF('Data entry'!$B$73="Yes",IF(CB4&lt;'Data entry'!$B$13,'Data entry'!$B$59*VLOOKUP(Cashflow!CB4+1,'Cost data'!$A$68:$E$167,2,FALSE)+'Data entry'!$B$60*VLOOKUP(Cashflow!CB4+1,'Cost data'!$A$68:$E$167,3,FALSE)+'Data entry'!$B$61*VLOOKUP(Cashflow!CB4+1,'Cost data'!$A$68:$E$167,4,FALSE)+SUM('Data entry'!$B$62,'Data entry'!$B$63,'Data entry'!$B$65,'Data entry'!$B$66,'Data entry'!$B$67)*'Cost data'!$C$47,0),0)</f>
        <v>0</v>
      </c>
      <c r="CC34" s="503">
        <f>IF('Data entry'!$B$73="Yes",IF(CC4&lt;'Data entry'!$B$13,'Data entry'!$B$59*VLOOKUP(Cashflow!CC4+1,'Cost data'!$A$68:$E$167,2,FALSE)+'Data entry'!$B$60*VLOOKUP(Cashflow!CC4+1,'Cost data'!$A$68:$E$167,3,FALSE)+'Data entry'!$B$61*VLOOKUP(Cashflow!CC4+1,'Cost data'!$A$68:$E$167,4,FALSE)+SUM('Data entry'!$B$62,'Data entry'!$B$63,'Data entry'!$B$65,'Data entry'!$B$66,'Data entry'!$B$67)*'Cost data'!$C$47,0),0)</f>
        <v>0</v>
      </c>
      <c r="CD34" s="503">
        <f>IF('Data entry'!$B$73="Yes",IF(CD4&lt;'Data entry'!$B$13,'Data entry'!$B$59*VLOOKUP(Cashflow!CD4+1,'Cost data'!$A$68:$E$167,2,FALSE)+'Data entry'!$B$60*VLOOKUP(Cashflow!CD4+1,'Cost data'!$A$68:$E$167,3,FALSE)+'Data entry'!$B$61*VLOOKUP(Cashflow!CD4+1,'Cost data'!$A$68:$E$167,4,FALSE)+SUM('Data entry'!$B$62,'Data entry'!$B$63,'Data entry'!$B$65,'Data entry'!$B$66,'Data entry'!$B$67)*'Cost data'!$C$47,0),0)</f>
        <v>0</v>
      </c>
      <c r="CE34" s="503">
        <f>IF('Data entry'!$B$73="Yes",IF(CE4&lt;'Data entry'!$B$13,'Data entry'!$B$59*VLOOKUP(Cashflow!CE4+1,'Cost data'!$A$68:$E$167,2,FALSE)+'Data entry'!$B$60*VLOOKUP(Cashflow!CE4+1,'Cost data'!$A$68:$E$167,3,FALSE)+'Data entry'!$B$61*VLOOKUP(Cashflow!CE4+1,'Cost data'!$A$68:$E$167,4,FALSE)+SUM('Data entry'!$B$62,'Data entry'!$B$63,'Data entry'!$B$65,'Data entry'!$B$66,'Data entry'!$B$67)*'Cost data'!$C$47,0),0)</f>
        <v>0</v>
      </c>
      <c r="CF34" s="503">
        <f>IF('Data entry'!$B$73="Yes",IF(CF4&lt;'Data entry'!$B$13,'Data entry'!$B$59*VLOOKUP(Cashflow!CF4+1,'Cost data'!$A$68:$E$167,2,FALSE)+'Data entry'!$B$60*VLOOKUP(Cashflow!CF4+1,'Cost data'!$A$68:$E$167,3,FALSE)+'Data entry'!$B$61*VLOOKUP(Cashflow!CF4+1,'Cost data'!$A$68:$E$167,4,FALSE)+SUM('Data entry'!$B$62,'Data entry'!$B$63,'Data entry'!$B$65,'Data entry'!$B$66,'Data entry'!$B$67)*'Cost data'!$C$47,0),0)</f>
        <v>0</v>
      </c>
      <c r="CG34" s="503">
        <f>IF('Data entry'!$B$73="Yes",IF(CG4&lt;'Data entry'!$B$13,'Data entry'!$B$59*VLOOKUP(Cashflow!CG4+1,'Cost data'!$A$68:$E$167,2,FALSE)+'Data entry'!$B$60*VLOOKUP(Cashflow!CG4+1,'Cost data'!$A$68:$E$167,3,FALSE)+'Data entry'!$B$61*VLOOKUP(Cashflow!CG4+1,'Cost data'!$A$68:$E$167,4,FALSE)+SUM('Data entry'!$B$62,'Data entry'!$B$63,'Data entry'!$B$65,'Data entry'!$B$66,'Data entry'!$B$67)*'Cost data'!$C$47,0),0)</f>
        <v>0</v>
      </c>
      <c r="CH34" s="503">
        <f>IF('Data entry'!$B$73="Yes",IF(CH4&lt;'Data entry'!$B$13,'Data entry'!$B$59*VLOOKUP(Cashflow!CH4+1,'Cost data'!$A$68:$E$167,2,FALSE)+'Data entry'!$B$60*VLOOKUP(Cashflow!CH4+1,'Cost data'!$A$68:$E$167,3,FALSE)+'Data entry'!$B$61*VLOOKUP(Cashflow!CH4+1,'Cost data'!$A$68:$E$167,4,FALSE)+SUM('Data entry'!$B$62,'Data entry'!$B$63,'Data entry'!$B$65,'Data entry'!$B$66,'Data entry'!$B$67)*'Cost data'!$C$47,0),0)</f>
        <v>0</v>
      </c>
      <c r="CI34" s="503">
        <f>IF('Data entry'!$B$73="Yes",IF(CI4&lt;'Data entry'!$B$13,'Data entry'!$B$59*VLOOKUP(Cashflow!CI4+1,'Cost data'!$A$68:$E$167,2,FALSE)+'Data entry'!$B$60*VLOOKUP(Cashflow!CI4+1,'Cost data'!$A$68:$E$167,3,FALSE)+'Data entry'!$B$61*VLOOKUP(Cashflow!CI4+1,'Cost data'!$A$68:$E$167,4,FALSE)+SUM('Data entry'!$B$62,'Data entry'!$B$63,'Data entry'!$B$65,'Data entry'!$B$66,'Data entry'!$B$67)*'Cost data'!$C$47,0),0)</f>
        <v>0</v>
      </c>
      <c r="CJ34" s="503">
        <f>IF('Data entry'!$B$73="Yes",IF(CJ4&lt;'Data entry'!$B$13,'Data entry'!$B$59*VLOOKUP(Cashflow!CJ4+1,'Cost data'!$A$68:$E$167,2,FALSE)+'Data entry'!$B$60*VLOOKUP(Cashflow!CJ4+1,'Cost data'!$A$68:$E$167,3,FALSE)+'Data entry'!$B$61*VLOOKUP(Cashflow!CJ4+1,'Cost data'!$A$68:$E$167,4,FALSE)+SUM('Data entry'!$B$62,'Data entry'!$B$63,'Data entry'!$B$65,'Data entry'!$B$66,'Data entry'!$B$67)*'Cost data'!$C$47,0),0)</f>
        <v>0</v>
      </c>
      <c r="CK34" s="503">
        <f>IF('Data entry'!$B$73="Yes",IF(CK4&lt;'Data entry'!$B$13,'Data entry'!$B$59*VLOOKUP(Cashflow!CK4+1,'Cost data'!$A$68:$E$167,2,FALSE)+'Data entry'!$B$60*VLOOKUP(Cashflow!CK4+1,'Cost data'!$A$68:$E$167,3,FALSE)+'Data entry'!$B$61*VLOOKUP(Cashflow!CK4+1,'Cost data'!$A$68:$E$167,4,FALSE)+SUM('Data entry'!$B$62,'Data entry'!$B$63,'Data entry'!$B$65,'Data entry'!$B$66,'Data entry'!$B$67)*'Cost data'!$C$47,0),0)</f>
        <v>0</v>
      </c>
      <c r="CL34" s="503">
        <f>IF('Data entry'!$B$73="Yes",IF(CL4&lt;'Data entry'!$B$13,'Data entry'!$B$59*VLOOKUP(Cashflow!CL4+1,'Cost data'!$A$68:$E$167,2,FALSE)+'Data entry'!$B$60*VLOOKUP(Cashflow!CL4+1,'Cost data'!$A$68:$E$167,3,FALSE)+'Data entry'!$B$61*VLOOKUP(Cashflow!CL4+1,'Cost data'!$A$68:$E$167,4,FALSE)+SUM('Data entry'!$B$62,'Data entry'!$B$63,'Data entry'!$B$65,'Data entry'!$B$66,'Data entry'!$B$67)*'Cost data'!$C$47,0),0)</f>
        <v>0</v>
      </c>
      <c r="CM34" s="503">
        <f>IF('Data entry'!$B$73="Yes",IF(CM4&lt;'Data entry'!$B$13,'Data entry'!$B$59*VLOOKUP(Cashflow!CM4+1,'Cost data'!$A$68:$E$167,2,FALSE)+'Data entry'!$B$60*VLOOKUP(Cashflow!CM4+1,'Cost data'!$A$68:$E$167,3,FALSE)+'Data entry'!$B$61*VLOOKUP(Cashflow!CM4+1,'Cost data'!$A$68:$E$167,4,FALSE)+SUM('Data entry'!$B$62,'Data entry'!$B$63,'Data entry'!$B$65,'Data entry'!$B$66,'Data entry'!$B$67)*'Cost data'!$C$47,0),0)</f>
        <v>0</v>
      </c>
      <c r="CN34" s="503">
        <f>IF('Data entry'!$B$73="Yes",IF(CN4&lt;'Data entry'!$B$13,'Data entry'!$B$59*VLOOKUP(Cashflow!CN4+1,'Cost data'!$A$68:$E$167,2,FALSE)+'Data entry'!$B$60*VLOOKUP(Cashflow!CN4+1,'Cost data'!$A$68:$E$167,3,FALSE)+'Data entry'!$B$61*VLOOKUP(Cashflow!CN4+1,'Cost data'!$A$68:$E$167,4,FALSE)+SUM('Data entry'!$B$62,'Data entry'!$B$63,'Data entry'!$B$65,'Data entry'!$B$66,'Data entry'!$B$67)*'Cost data'!$C$47,0),0)</f>
        <v>0</v>
      </c>
      <c r="CO34" s="503">
        <f>IF('Data entry'!$B$73="Yes",IF(CO4&lt;'Data entry'!$B$13,'Data entry'!$B$59*VLOOKUP(Cashflow!CO4+1,'Cost data'!$A$68:$E$167,2,FALSE)+'Data entry'!$B$60*VLOOKUP(Cashflow!CO4+1,'Cost data'!$A$68:$E$167,3,FALSE)+'Data entry'!$B$61*VLOOKUP(Cashflow!CO4+1,'Cost data'!$A$68:$E$167,4,FALSE)+SUM('Data entry'!$B$62,'Data entry'!$B$63,'Data entry'!$B$65,'Data entry'!$B$66,'Data entry'!$B$67)*'Cost data'!$C$47,0),0)</f>
        <v>0</v>
      </c>
      <c r="CP34" s="503">
        <f>IF('Data entry'!$B$73="Yes",IF(CP4&lt;'Data entry'!$B$13,'Data entry'!$B$59*VLOOKUP(Cashflow!CP4+1,'Cost data'!$A$68:$E$167,2,FALSE)+'Data entry'!$B$60*VLOOKUP(Cashflow!CP4+1,'Cost data'!$A$68:$E$167,3,FALSE)+'Data entry'!$B$61*VLOOKUP(Cashflow!CP4+1,'Cost data'!$A$68:$E$167,4,FALSE)+SUM('Data entry'!$B$62,'Data entry'!$B$63,'Data entry'!$B$65,'Data entry'!$B$66,'Data entry'!$B$67)*'Cost data'!$C$47,0),0)</f>
        <v>0</v>
      </c>
      <c r="CQ34" s="503">
        <f>IF('Data entry'!$B$73="Yes",IF(CQ4&lt;'Data entry'!$B$13,'Data entry'!$B$59*VLOOKUP(Cashflow!CQ4+1,'Cost data'!$A$68:$E$167,2,FALSE)+'Data entry'!$B$60*VLOOKUP(Cashflow!CQ4+1,'Cost data'!$A$68:$E$167,3,FALSE)+'Data entry'!$B$61*VLOOKUP(Cashflow!CQ4+1,'Cost data'!$A$68:$E$167,4,FALSE)+SUM('Data entry'!$B$62,'Data entry'!$B$63,'Data entry'!$B$65,'Data entry'!$B$66,'Data entry'!$B$67)*'Cost data'!$C$47,0),0)</f>
        <v>0</v>
      </c>
      <c r="CR34" s="503">
        <f>IF('Data entry'!$B$73="Yes",IF(CR4&lt;'Data entry'!$B$13,'Data entry'!$B$59*VLOOKUP(Cashflow!CR4+1,'Cost data'!$A$68:$E$167,2,FALSE)+'Data entry'!$B$60*VLOOKUP(Cashflow!CR4+1,'Cost data'!$A$68:$E$167,3,FALSE)+'Data entry'!$B$61*VLOOKUP(Cashflow!CR4+1,'Cost data'!$A$68:$E$167,4,FALSE)+SUM('Data entry'!$B$62,'Data entry'!$B$63,'Data entry'!$B$65,'Data entry'!$B$66,'Data entry'!$B$67)*'Cost data'!$C$47,0),0)</f>
        <v>0</v>
      </c>
      <c r="CS34" s="503">
        <f>IF('Data entry'!$B$73="Yes",IF(CS4&lt;'Data entry'!$B$13,'Data entry'!$B$59*VLOOKUP(Cashflow!CS4+1,'Cost data'!$A$68:$E$167,2,FALSE)+'Data entry'!$B$60*VLOOKUP(Cashflow!CS4+1,'Cost data'!$A$68:$E$167,3,FALSE)+'Data entry'!$B$61*VLOOKUP(Cashflow!CS4+1,'Cost data'!$A$68:$E$167,4,FALSE)+SUM('Data entry'!$B$62,'Data entry'!$B$63,'Data entry'!$B$65,'Data entry'!$B$66,'Data entry'!$B$67)*'Cost data'!$C$47,0),0)</f>
        <v>0</v>
      </c>
      <c r="CT34" s="503">
        <f>IF('Data entry'!$B$73="Yes",IF(CT4&lt;'Data entry'!$B$13,'Data entry'!$B$59*VLOOKUP(Cashflow!CT4+1,'Cost data'!$A$68:$E$167,2,FALSE)+'Data entry'!$B$60*VLOOKUP(Cashflow!CT4+1,'Cost data'!$A$68:$E$167,3,FALSE)+'Data entry'!$B$61*VLOOKUP(Cashflow!CT4+1,'Cost data'!$A$68:$E$167,4,FALSE)+SUM('Data entry'!$B$62,'Data entry'!$B$63,'Data entry'!$B$65,'Data entry'!$B$66,'Data entry'!$B$67)*'Cost data'!$C$47,0),0)</f>
        <v>0</v>
      </c>
      <c r="CU34" s="503">
        <f>IF('Data entry'!$B$73="Yes",IF(CU4&lt;'Data entry'!$B$13,'Data entry'!$B$59*VLOOKUP(Cashflow!CU4+1,'Cost data'!$A$68:$E$167,2,FALSE)+'Data entry'!$B$60*VLOOKUP(Cashflow!CU4+1,'Cost data'!$A$68:$E$167,3,FALSE)+'Data entry'!$B$61*VLOOKUP(Cashflow!CU4+1,'Cost data'!$A$68:$E$167,4,FALSE)+SUM('Data entry'!$B$62,'Data entry'!$B$63,'Data entry'!$B$65,'Data entry'!$B$66,'Data entry'!$B$67)*'Cost data'!$C$47,0),0)</f>
        <v>0</v>
      </c>
      <c r="CV34" s="503">
        <f>IF('Data entry'!$B$73="Yes",IF(CV4&lt;'Data entry'!$B$13,'Data entry'!$B$59*VLOOKUP(Cashflow!CV4+1,'Cost data'!$A$68:$E$167,2,FALSE)+'Data entry'!$B$60*VLOOKUP(Cashflow!CV4+1,'Cost data'!$A$68:$E$167,3,FALSE)+'Data entry'!$B$61*VLOOKUP(Cashflow!CV4+1,'Cost data'!$A$68:$E$167,4,FALSE)+SUM('Data entry'!$B$62,'Data entry'!$B$63,'Data entry'!$B$65,'Data entry'!$B$66,'Data entry'!$B$67)*'Cost data'!$C$47,0),0)</f>
        <v>0</v>
      </c>
      <c r="CW34" s="503">
        <f>IF('Data entry'!$B$73="Yes",IF(CW4&lt;'Data entry'!$B$13,'Data entry'!$B$59*VLOOKUP(Cashflow!CW4+1,'Cost data'!$A$68:$E$167,2,FALSE)+'Data entry'!$B$60*VLOOKUP(Cashflow!CW4+1,'Cost data'!$A$68:$E$167,3,FALSE)+'Data entry'!$B$61*VLOOKUP(Cashflow!CW4+1,'Cost data'!$A$68:$E$167,4,FALSE)+SUM('Data entry'!$B$62,'Data entry'!$B$63,'Data entry'!$B$65,'Data entry'!$B$66,'Data entry'!$B$67)*'Cost data'!$C$47,0),0)</f>
        <v>0</v>
      </c>
      <c r="CX34" s="503">
        <f>IF('Data entry'!$B$73="Yes",IF(CX4&lt;'Data entry'!$B$13,'Data entry'!$B$59*VLOOKUP(Cashflow!CX4+1,'Cost data'!$A$68:$E$167,2,FALSE)+'Data entry'!$B$60*VLOOKUP(Cashflow!CX4+1,'Cost data'!$A$68:$E$167,3,FALSE)+'Data entry'!$B$61*VLOOKUP(Cashflow!CX4+1,'Cost data'!$A$68:$E$167,4,FALSE)+SUM('Data entry'!$B$62,'Data entry'!$B$63,'Data entry'!$B$65,'Data entry'!$B$66,'Data entry'!$B$67)*'Cost data'!$C$47,0),0)</f>
        <v>0</v>
      </c>
      <c r="CY34" s="505">
        <f>IF('Data entry'!$B$73="Yes",IF(CY4&lt;'Data entry'!$B$13,'Data entry'!$B$59*VLOOKUP(Cashflow!CY4+1,'Cost data'!$A$68:$E$167,2,FALSE)+'Data entry'!$B$60*VLOOKUP(Cashflow!CY4+1,'Cost data'!$A$68:$E$167,3,FALSE)+'Data entry'!$B$61*VLOOKUP(Cashflow!CY4+1,'Cost data'!$A$68:$E$167,4,FALSE)+SUM('Data entry'!$B$62,'Data entry'!$B$63,'Data entry'!$B$65,'Data entry'!$B$66,'Data entry'!$B$67)*'Cost data'!$C$47,0),0)</f>
        <v>0</v>
      </c>
    </row>
    <row r="35" spans="1:103" ht="15" customHeight="1" x14ac:dyDescent="0.35">
      <c r="A35" s="892"/>
      <c r="B35" s="288" t="s">
        <v>349</v>
      </c>
      <c r="C35" s="479">
        <f>SUM(D35:CY35)</f>
        <v>0</v>
      </c>
      <c r="D35" s="503">
        <f>IF(D$4&lt;'Data entry'!$B$13,'Data entry'!$H$74,0)</f>
        <v>0</v>
      </c>
      <c r="E35" s="503">
        <f>IF(E$4&lt;'Data entry'!$B$13,'Data entry'!$H$74,0)</f>
        <v>0</v>
      </c>
      <c r="F35" s="503">
        <f>IF(F$4&lt;'Data entry'!$B$13,'Data entry'!$H$74,0)</f>
        <v>0</v>
      </c>
      <c r="G35" s="503">
        <f>IF(G$4&lt;'Data entry'!$B$13,'Data entry'!$H$74,0)</f>
        <v>0</v>
      </c>
      <c r="H35" s="503">
        <f>IF(H$4&lt;'Data entry'!$B$13,'Data entry'!$H$74,0)</f>
        <v>0</v>
      </c>
      <c r="I35" s="503">
        <f>IF(I$4&lt;'Data entry'!$B$13,'Data entry'!$H$74,0)</f>
        <v>0</v>
      </c>
      <c r="J35" s="503">
        <f>IF(J$4&lt;'Data entry'!$B$13,'Data entry'!$H$74,0)</f>
        <v>0</v>
      </c>
      <c r="K35" s="503">
        <f>IF(K$4&lt;'Data entry'!$B$13,'Data entry'!$H$74,0)</f>
        <v>0</v>
      </c>
      <c r="L35" s="503">
        <f>IF(L$4&lt;'Data entry'!$B$13,'Data entry'!$H$74,0)</f>
        <v>0</v>
      </c>
      <c r="M35" s="503">
        <f>IF(M$4&lt;'Data entry'!$B$13,'Data entry'!$H$74,0)</f>
        <v>0</v>
      </c>
      <c r="N35" s="503">
        <f>IF(N$4&lt;'Data entry'!$B$13,'Data entry'!$H$74,0)</f>
        <v>0</v>
      </c>
      <c r="O35" s="503">
        <f>IF(O$4&lt;'Data entry'!$B$13,'Data entry'!$H$74,0)</f>
        <v>0</v>
      </c>
      <c r="P35" s="503">
        <f>IF(P$4&lt;'Data entry'!$B$13,'Data entry'!$H$74,0)</f>
        <v>0</v>
      </c>
      <c r="Q35" s="503">
        <f>IF(Q$4&lt;'Data entry'!$B$13,'Data entry'!$H$74,0)</f>
        <v>0</v>
      </c>
      <c r="R35" s="503">
        <f>IF(R$4&lt;'Data entry'!$B$13,'Data entry'!$H$74,0)</f>
        <v>0</v>
      </c>
      <c r="S35" s="503">
        <f>IF(S$4&lt;'Data entry'!$B$13,'Data entry'!$H$74,0)</f>
        <v>0</v>
      </c>
      <c r="T35" s="503">
        <f>IF(T$4&lt;'Data entry'!$B$13,'Data entry'!$H$74,0)</f>
        <v>0</v>
      </c>
      <c r="U35" s="503">
        <f>IF(U$4&lt;'Data entry'!$B$13,'Data entry'!$H$74,0)</f>
        <v>0</v>
      </c>
      <c r="V35" s="503">
        <f>IF(V$4&lt;'Data entry'!$B$13,'Data entry'!$H$74,0)</f>
        <v>0</v>
      </c>
      <c r="W35" s="503">
        <f>IF(W$4&lt;'Data entry'!$B$13,'Data entry'!$H$74,0)</f>
        <v>0</v>
      </c>
      <c r="X35" s="503">
        <f>IF(X$4&lt;'Data entry'!$B$13,'Data entry'!$H$74,0)</f>
        <v>0</v>
      </c>
      <c r="Y35" s="503">
        <f>IF(Y$4&lt;'Data entry'!$B$13,'Data entry'!$H$74,0)</f>
        <v>0</v>
      </c>
      <c r="Z35" s="503">
        <f>IF(Z$4&lt;'Data entry'!$B$13,'Data entry'!$H$74,0)</f>
        <v>0</v>
      </c>
      <c r="AA35" s="503">
        <f>IF(AA$4&lt;'Data entry'!$B$13,'Data entry'!$H$74,0)</f>
        <v>0</v>
      </c>
      <c r="AB35" s="503">
        <f>IF(AB$4&lt;'Data entry'!$B$13,'Data entry'!$H$74,0)</f>
        <v>0</v>
      </c>
      <c r="AC35" s="503">
        <f>IF(AC$4&lt;'Data entry'!$B$13,'Data entry'!$H$74,0)</f>
        <v>0</v>
      </c>
      <c r="AD35" s="503">
        <f>IF(AD$4&lt;'Data entry'!$B$13,'Data entry'!$H$74,0)</f>
        <v>0</v>
      </c>
      <c r="AE35" s="503">
        <f>IF(AE$4&lt;'Data entry'!$B$13,'Data entry'!$H$74,0)</f>
        <v>0</v>
      </c>
      <c r="AF35" s="503">
        <f>IF(AF$4&lt;'Data entry'!$B$13,'Data entry'!$H$74,0)</f>
        <v>0</v>
      </c>
      <c r="AG35" s="503">
        <f>IF(AG$4&lt;'Data entry'!$B$13,'Data entry'!$H$74,0)</f>
        <v>0</v>
      </c>
      <c r="AH35" s="503">
        <f>IF(AH$4&lt;'Data entry'!$B$13,'Data entry'!$H$74,0)</f>
        <v>0</v>
      </c>
      <c r="AI35" s="503">
        <f>IF(AI$4&lt;'Data entry'!$B$13,'Data entry'!$H$74,0)</f>
        <v>0</v>
      </c>
      <c r="AJ35" s="503">
        <f>IF(AJ$4&lt;'Data entry'!$B$13,'Data entry'!$H$74,0)</f>
        <v>0</v>
      </c>
      <c r="AK35" s="503">
        <f>IF(AK$4&lt;'Data entry'!$B$13,'Data entry'!$H$74,0)</f>
        <v>0</v>
      </c>
      <c r="AL35" s="503">
        <f>IF(AL$4&lt;'Data entry'!$B$13,'Data entry'!$H$74,0)</f>
        <v>0</v>
      </c>
      <c r="AM35" s="503">
        <f>IF(AM$4&lt;'Data entry'!$B$13,'Data entry'!$H$74,0)</f>
        <v>0</v>
      </c>
      <c r="AN35" s="503">
        <f>IF(AN$4&lt;'Data entry'!$B$13,'Data entry'!$H$74,0)</f>
        <v>0</v>
      </c>
      <c r="AO35" s="504">
        <f>IF(AO$4&lt;'Data entry'!$B$13,'Data entry'!$H$74,0)</f>
        <v>0</v>
      </c>
      <c r="AP35" s="503">
        <f>IF(AP$4&lt;'Data entry'!$B$13,'Data entry'!$H$74,0)</f>
        <v>0</v>
      </c>
      <c r="AQ35" s="503">
        <f>IF(AQ$4&lt;'Data entry'!$B$13,'Data entry'!$H$74,0)</f>
        <v>0</v>
      </c>
      <c r="AR35" s="503">
        <f>IF(AR$4&lt;'Data entry'!$B$13,'Data entry'!$H$74,0)</f>
        <v>0</v>
      </c>
      <c r="AS35" s="503">
        <f>IF(AS$4&lt;'Data entry'!$B$13,'Data entry'!$H$74,0)</f>
        <v>0</v>
      </c>
      <c r="AT35" s="503">
        <f>IF(AT$4&lt;'Data entry'!$B$13,'Data entry'!$H$74,0)</f>
        <v>0</v>
      </c>
      <c r="AU35" s="503">
        <f>IF(AU$4&lt;'Data entry'!$B$13,'Data entry'!$H$74,0)</f>
        <v>0</v>
      </c>
      <c r="AV35" s="503">
        <f>IF(AV$4&lt;'Data entry'!$B$13,'Data entry'!$H$74,0)</f>
        <v>0</v>
      </c>
      <c r="AW35" s="503">
        <f>IF(AW$4&lt;'Data entry'!$B$13,'Data entry'!$H$74,0)</f>
        <v>0</v>
      </c>
      <c r="AX35" s="503">
        <f>IF(AX$4&lt;'Data entry'!$B$13,'Data entry'!$H$74,0)</f>
        <v>0</v>
      </c>
      <c r="AY35" s="503">
        <f>IF(AY$4&lt;'Data entry'!$B$13,'Data entry'!$H$74,0)</f>
        <v>0</v>
      </c>
      <c r="AZ35" s="503">
        <f>IF(AZ$4&lt;'Data entry'!$B$13,'Data entry'!$H$74,0)</f>
        <v>0</v>
      </c>
      <c r="BA35" s="503">
        <f>IF(BA$4&lt;'Data entry'!$B$13,'Data entry'!$H$74,0)</f>
        <v>0</v>
      </c>
      <c r="BB35" s="503">
        <f>IF(BB$4&lt;'Data entry'!$B$13,'Data entry'!$H$74,0)</f>
        <v>0</v>
      </c>
      <c r="BC35" s="503">
        <f>IF(BC$4&lt;'Data entry'!$B$13,'Data entry'!$H$74,0)</f>
        <v>0</v>
      </c>
      <c r="BD35" s="503">
        <f>IF(BD$4&lt;'Data entry'!$B$13,'Data entry'!$H$74,0)</f>
        <v>0</v>
      </c>
      <c r="BE35" s="503">
        <f>IF(BE$4&lt;'Data entry'!$B$13,'Data entry'!$H$74,0)</f>
        <v>0</v>
      </c>
      <c r="BF35" s="503">
        <f>IF(BF$4&lt;'Data entry'!$B$13,'Data entry'!$H$74,0)</f>
        <v>0</v>
      </c>
      <c r="BG35" s="503">
        <f>IF(BG$4&lt;'Data entry'!$B$13,'Data entry'!$H$74,0)</f>
        <v>0</v>
      </c>
      <c r="BH35" s="503">
        <f>IF(BH$4&lt;'Data entry'!$B$13,'Data entry'!$H$74,0)</f>
        <v>0</v>
      </c>
      <c r="BI35" s="503">
        <f>IF(BI$4&lt;'Data entry'!$B$13,'Data entry'!$H$74,0)</f>
        <v>0</v>
      </c>
      <c r="BJ35" s="503">
        <f>IF(BJ$4&lt;'Data entry'!$B$13,'Data entry'!$H$74,0)</f>
        <v>0</v>
      </c>
      <c r="BK35" s="504">
        <f>IF(BK$4&lt;'Data entry'!$B$13,'Data entry'!$H$74,0)</f>
        <v>0</v>
      </c>
      <c r="BL35" s="503">
        <f>IF(BL$4&lt;'Data entry'!$B$13,'Data entry'!$H$74,0)</f>
        <v>0</v>
      </c>
      <c r="BM35" s="503">
        <f>IF(BM$4&lt;'Data entry'!$B$13,'Data entry'!$H$74,0)</f>
        <v>0</v>
      </c>
      <c r="BN35" s="503">
        <f>IF(BN$4&lt;'Data entry'!$B$13,'Data entry'!$H$74,0)</f>
        <v>0</v>
      </c>
      <c r="BO35" s="503">
        <f>IF(BO$4&lt;'Data entry'!$B$13,'Data entry'!$H$74,0)</f>
        <v>0</v>
      </c>
      <c r="BP35" s="503">
        <f>IF(BP$4&lt;'Data entry'!$B$13,'Data entry'!$H$74,0)</f>
        <v>0</v>
      </c>
      <c r="BQ35" s="503">
        <f>IF(BQ$4&lt;'Data entry'!$B$13,'Data entry'!$H$74,0)</f>
        <v>0</v>
      </c>
      <c r="BR35" s="503">
        <f>IF(BR$4&lt;'Data entry'!$B$13,'Data entry'!$H$74,0)</f>
        <v>0</v>
      </c>
      <c r="BS35" s="503">
        <f>IF(BS$4&lt;'Data entry'!$B$13,'Data entry'!$H$74,0)</f>
        <v>0</v>
      </c>
      <c r="BT35" s="503">
        <f>IF(BT$4&lt;'Data entry'!$B$13,'Data entry'!$H$74,0)</f>
        <v>0</v>
      </c>
      <c r="BU35" s="503">
        <f>IF(BU$4&lt;'Data entry'!$B$13,'Data entry'!$H$74,0)</f>
        <v>0</v>
      </c>
      <c r="BV35" s="503">
        <f>IF(BV$4&lt;'Data entry'!$B$13,'Data entry'!$H$74,0)</f>
        <v>0</v>
      </c>
      <c r="BW35" s="503">
        <f>IF(BW$4&lt;'Data entry'!$B$13,'Data entry'!$H$74,0)</f>
        <v>0</v>
      </c>
      <c r="BX35" s="503">
        <f>IF(BX$4&lt;'Data entry'!$B$13,'Data entry'!$H$74,0)</f>
        <v>0</v>
      </c>
      <c r="BY35" s="503">
        <f>IF(BY$4&lt;'Data entry'!$B$13,'Data entry'!$H$74,0)</f>
        <v>0</v>
      </c>
      <c r="BZ35" s="503">
        <f>IF(BZ$4&lt;'Data entry'!$B$13,'Data entry'!$H$74,0)</f>
        <v>0</v>
      </c>
      <c r="CA35" s="504">
        <f>IF(CA$4&lt;'Data entry'!$B$13,'Data entry'!$H$74,0)</f>
        <v>0</v>
      </c>
      <c r="CB35" s="503">
        <f>IF(CB$4&lt;'Data entry'!$B$13,'Data entry'!$H$74,0)</f>
        <v>0</v>
      </c>
      <c r="CC35" s="503">
        <f>IF(CC$4&lt;'Data entry'!$B$13,'Data entry'!$H$74,0)</f>
        <v>0</v>
      </c>
      <c r="CD35" s="503">
        <f>IF(CD$4&lt;'Data entry'!$B$13,'Data entry'!$H$74,0)</f>
        <v>0</v>
      </c>
      <c r="CE35" s="503">
        <f>IF(CE$4&lt;'Data entry'!$B$13,'Data entry'!$H$74,0)</f>
        <v>0</v>
      </c>
      <c r="CF35" s="503">
        <f>IF(CF$4&lt;'Data entry'!$B$13,'Data entry'!$H$74,0)</f>
        <v>0</v>
      </c>
      <c r="CG35" s="503">
        <f>IF(CG$4&lt;'Data entry'!$B$13,'Data entry'!$H$74,0)</f>
        <v>0</v>
      </c>
      <c r="CH35" s="503">
        <f>IF(CH$4&lt;'Data entry'!$B$13,'Data entry'!$H$74,0)</f>
        <v>0</v>
      </c>
      <c r="CI35" s="503">
        <f>IF(CI$4&lt;'Data entry'!$B$13,'Data entry'!$H$74,0)</f>
        <v>0</v>
      </c>
      <c r="CJ35" s="503">
        <f>IF(CJ$4&lt;'Data entry'!$B$13,'Data entry'!$H$74,0)</f>
        <v>0</v>
      </c>
      <c r="CK35" s="503">
        <f>IF(CK$4&lt;'Data entry'!$B$13,'Data entry'!$H$74,0)</f>
        <v>0</v>
      </c>
      <c r="CL35" s="503">
        <f>IF(CL$4&lt;'Data entry'!$B$13,'Data entry'!$H$74,0)</f>
        <v>0</v>
      </c>
      <c r="CM35" s="503">
        <f>IF(CM$4&lt;'Data entry'!$B$13,'Data entry'!$H$74,0)</f>
        <v>0</v>
      </c>
      <c r="CN35" s="503">
        <f>IF(CN$4&lt;'Data entry'!$B$13,'Data entry'!$H$74,0)</f>
        <v>0</v>
      </c>
      <c r="CO35" s="503">
        <f>IF(CO$4&lt;'Data entry'!$B$13,'Data entry'!$H$74,0)</f>
        <v>0</v>
      </c>
      <c r="CP35" s="503">
        <f>IF(CP$4&lt;'Data entry'!$B$13,'Data entry'!$H$74,0)</f>
        <v>0</v>
      </c>
      <c r="CQ35" s="503">
        <f>IF(CQ$4&lt;'Data entry'!$B$13,'Data entry'!$H$74,0)</f>
        <v>0</v>
      </c>
      <c r="CR35" s="503">
        <f>IF(CR$4&lt;'Data entry'!$B$13,'Data entry'!$H$74,0)</f>
        <v>0</v>
      </c>
      <c r="CS35" s="503">
        <f>IF(CS$4&lt;'Data entry'!$B$13,'Data entry'!$H$74,0)</f>
        <v>0</v>
      </c>
      <c r="CT35" s="503">
        <f>IF(CT$4&lt;'Data entry'!$B$13,'Data entry'!$H$74,0)</f>
        <v>0</v>
      </c>
      <c r="CU35" s="503">
        <f>IF(CU$4&lt;'Data entry'!$B$13,'Data entry'!$H$74,0)</f>
        <v>0</v>
      </c>
      <c r="CV35" s="503">
        <f>IF(CV$4&lt;'Data entry'!$B$13,'Data entry'!$H$74,0)</f>
        <v>0</v>
      </c>
      <c r="CW35" s="503">
        <f>IF(CW$4&lt;'Data entry'!$B$13,'Data entry'!$H$74,0)</f>
        <v>0</v>
      </c>
      <c r="CX35" s="503">
        <f>IF(CX$4&lt;'Data entry'!$B$13,'Data entry'!$H$74,0)</f>
        <v>0</v>
      </c>
      <c r="CY35" s="505">
        <f>IF(CY$4&lt;'Data entry'!$B$13,'Data entry'!$H$74,0)</f>
        <v>0</v>
      </c>
    </row>
    <row r="36" spans="1:103" ht="15" customHeight="1" x14ac:dyDescent="0.35">
      <c r="A36" s="893"/>
      <c r="B36" s="506" t="s">
        <v>453</v>
      </c>
      <c r="C36" s="479">
        <f>SUM(D36:CY36)</f>
        <v>0</v>
      </c>
      <c r="D36" s="491"/>
      <c r="E36" s="491"/>
      <c r="F36" s="491"/>
      <c r="G36" s="491"/>
      <c r="H36" s="491"/>
      <c r="I36" s="491"/>
      <c r="J36" s="491"/>
      <c r="K36" s="491"/>
      <c r="L36" s="491"/>
      <c r="M36" s="491"/>
      <c r="N36" s="491"/>
      <c r="O36" s="491"/>
      <c r="P36" s="491"/>
      <c r="Q36" s="491"/>
      <c r="R36" s="503">
        <f>'Data entry'!H37</f>
        <v>0</v>
      </c>
      <c r="S36" s="491"/>
      <c r="T36" s="491"/>
      <c r="U36" s="491"/>
      <c r="V36" s="491"/>
      <c r="W36" s="491"/>
      <c r="X36" s="491"/>
      <c r="Y36" s="491"/>
      <c r="Z36" s="491"/>
      <c r="AA36" s="491"/>
      <c r="AB36" s="491"/>
      <c r="AC36" s="491"/>
      <c r="AD36" s="491"/>
      <c r="AE36" s="491"/>
      <c r="AF36" s="491"/>
      <c r="AG36" s="491"/>
      <c r="AH36" s="491"/>
      <c r="AI36" s="491"/>
      <c r="AJ36" s="491"/>
      <c r="AK36" s="491"/>
      <c r="AL36" s="491"/>
      <c r="AM36" s="491"/>
      <c r="AN36" s="491"/>
      <c r="AO36" s="492"/>
      <c r="AP36" s="491"/>
      <c r="AQ36" s="491"/>
      <c r="AR36" s="491"/>
      <c r="AS36" s="491"/>
      <c r="AT36" s="491"/>
      <c r="AU36" s="491"/>
      <c r="AV36" s="491"/>
      <c r="AW36" s="491"/>
      <c r="AX36" s="491"/>
      <c r="AY36" s="491"/>
      <c r="AZ36" s="491"/>
      <c r="BA36" s="491"/>
      <c r="BB36" s="491"/>
      <c r="BC36" s="491"/>
      <c r="BD36" s="491"/>
      <c r="BE36" s="491"/>
      <c r="BF36" s="491"/>
      <c r="BG36" s="491"/>
      <c r="BH36" s="491"/>
      <c r="BI36" s="491"/>
      <c r="BJ36" s="491"/>
      <c r="BK36" s="492"/>
      <c r="BL36" s="491"/>
      <c r="BM36" s="491"/>
      <c r="BN36" s="491"/>
      <c r="BO36" s="491"/>
      <c r="BP36" s="491"/>
      <c r="BQ36" s="491"/>
      <c r="BR36" s="491"/>
      <c r="BS36" s="491"/>
      <c r="BT36" s="491"/>
      <c r="BU36" s="491"/>
      <c r="BV36" s="491"/>
      <c r="BW36" s="491"/>
      <c r="BX36" s="491"/>
      <c r="BY36" s="491"/>
      <c r="BZ36" s="491"/>
      <c r="CA36" s="492"/>
      <c r="CB36" s="491"/>
      <c r="CC36" s="491"/>
      <c r="CD36" s="491"/>
      <c r="CE36" s="491"/>
      <c r="CF36" s="491"/>
      <c r="CG36" s="491"/>
      <c r="CH36" s="491"/>
      <c r="CI36" s="491"/>
      <c r="CJ36" s="491"/>
      <c r="CK36" s="491"/>
      <c r="CL36" s="491"/>
      <c r="CM36" s="491"/>
      <c r="CN36" s="491"/>
      <c r="CO36" s="491"/>
      <c r="CP36" s="491"/>
      <c r="CQ36" s="491"/>
      <c r="CR36" s="491"/>
      <c r="CS36" s="491"/>
      <c r="CT36" s="491"/>
      <c r="CU36" s="491"/>
      <c r="CV36" s="491"/>
      <c r="CW36" s="491"/>
      <c r="CX36" s="491"/>
      <c r="CY36" s="493"/>
    </row>
    <row r="37" spans="1:103" ht="15" customHeight="1" x14ac:dyDescent="0.35">
      <c r="A37" s="898" t="s">
        <v>2</v>
      </c>
      <c r="B37" s="498"/>
      <c r="C37" s="500">
        <f>SUM(C33:C36)</f>
        <v>0</v>
      </c>
      <c r="D37" s="499">
        <f>SUM(D33:D36)</f>
        <v>0</v>
      </c>
      <c r="E37" s="499">
        <f t="shared" ref="E37:AH37" si="5">SUM(E33:E36)</f>
        <v>0</v>
      </c>
      <c r="F37" s="499">
        <f t="shared" si="5"/>
        <v>0</v>
      </c>
      <c r="G37" s="499">
        <f t="shared" si="5"/>
        <v>0</v>
      </c>
      <c r="H37" s="499">
        <f t="shared" si="5"/>
        <v>0</v>
      </c>
      <c r="I37" s="499">
        <f t="shared" si="5"/>
        <v>0</v>
      </c>
      <c r="J37" s="499">
        <f t="shared" si="5"/>
        <v>0</v>
      </c>
      <c r="K37" s="499">
        <f t="shared" si="5"/>
        <v>0</v>
      </c>
      <c r="L37" s="499">
        <f t="shared" si="5"/>
        <v>0</v>
      </c>
      <c r="M37" s="499">
        <f t="shared" si="5"/>
        <v>0</v>
      </c>
      <c r="N37" s="499">
        <f t="shared" si="5"/>
        <v>0</v>
      </c>
      <c r="O37" s="499">
        <f t="shared" si="5"/>
        <v>0</v>
      </c>
      <c r="P37" s="499">
        <f t="shared" si="5"/>
        <v>0</v>
      </c>
      <c r="Q37" s="499">
        <f t="shared" si="5"/>
        <v>0</v>
      </c>
      <c r="R37" s="499">
        <f t="shared" si="5"/>
        <v>0</v>
      </c>
      <c r="S37" s="499">
        <f t="shared" si="5"/>
        <v>0</v>
      </c>
      <c r="T37" s="499">
        <f t="shared" si="5"/>
        <v>0</v>
      </c>
      <c r="U37" s="499">
        <f t="shared" si="5"/>
        <v>0</v>
      </c>
      <c r="V37" s="499">
        <f t="shared" si="5"/>
        <v>0</v>
      </c>
      <c r="W37" s="499">
        <f t="shared" si="5"/>
        <v>0</v>
      </c>
      <c r="X37" s="499">
        <f t="shared" si="5"/>
        <v>0</v>
      </c>
      <c r="Y37" s="499">
        <f t="shared" si="5"/>
        <v>0</v>
      </c>
      <c r="Z37" s="499">
        <f t="shared" si="5"/>
        <v>0</v>
      </c>
      <c r="AA37" s="499">
        <f t="shared" si="5"/>
        <v>0</v>
      </c>
      <c r="AB37" s="499">
        <f t="shared" si="5"/>
        <v>0</v>
      </c>
      <c r="AC37" s="499">
        <f t="shared" si="5"/>
        <v>0</v>
      </c>
      <c r="AD37" s="499">
        <f t="shared" si="5"/>
        <v>0</v>
      </c>
      <c r="AE37" s="499">
        <f t="shared" si="5"/>
        <v>0</v>
      </c>
      <c r="AF37" s="499">
        <f t="shared" si="5"/>
        <v>0</v>
      </c>
      <c r="AG37" s="499">
        <f t="shared" si="5"/>
        <v>0</v>
      </c>
      <c r="AH37" s="499">
        <f t="shared" si="5"/>
        <v>0</v>
      </c>
      <c r="AI37" s="499">
        <f t="shared" ref="AI37:BN37" si="6">SUM(AI33:AI36)</f>
        <v>0</v>
      </c>
      <c r="AJ37" s="499">
        <f t="shared" si="6"/>
        <v>0</v>
      </c>
      <c r="AK37" s="499">
        <f t="shared" si="6"/>
        <v>0</v>
      </c>
      <c r="AL37" s="499">
        <f t="shared" si="6"/>
        <v>0</v>
      </c>
      <c r="AM37" s="499">
        <f t="shared" si="6"/>
        <v>0</v>
      </c>
      <c r="AN37" s="499">
        <f t="shared" si="6"/>
        <v>0</v>
      </c>
      <c r="AO37" s="501">
        <f t="shared" si="6"/>
        <v>0</v>
      </c>
      <c r="AP37" s="499">
        <f t="shared" si="6"/>
        <v>0</v>
      </c>
      <c r="AQ37" s="499">
        <f t="shared" si="6"/>
        <v>0</v>
      </c>
      <c r="AR37" s="499">
        <f t="shared" si="6"/>
        <v>0</v>
      </c>
      <c r="AS37" s="499">
        <f t="shared" si="6"/>
        <v>0</v>
      </c>
      <c r="AT37" s="499">
        <f t="shared" si="6"/>
        <v>0</v>
      </c>
      <c r="AU37" s="499">
        <f t="shared" si="6"/>
        <v>0</v>
      </c>
      <c r="AV37" s="499">
        <f t="shared" si="6"/>
        <v>0</v>
      </c>
      <c r="AW37" s="499">
        <f t="shared" si="6"/>
        <v>0</v>
      </c>
      <c r="AX37" s="499">
        <f t="shared" si="6"/>
        <v>0</v>
      </c>
      <c r="AY37" s="499">
        <f t="shared" si="6"/>
        <v>0</v>
      </c>
      <c r="AZ37" s="499">
        <f t="shared" si="6"/>
        <v>0</v>
      </c>
      <c r="BA37" s="499">
        <f t="shared" si="6"/>
        <v>0</v>
      </c>
      <c r="BB37" s="499">
        <f t="shared" si="6"/>
        <v>0</v>
      </c>
      <c r="BC37" s="499">
        <f t="shared" si="6"/>
        <v>0</v>
      </c>
      <c r="BD37" s="499">
        <f t="shared" si="6"/>
        <v>0</v>
      </c>
      <c r="BE37" s="499">
        <f t="shared" si="6"/>
        <v>0</v>
      </c>
      <c r="BF37" s="499">
        <f t="shared" si="6"/>
        <v>0</v>
      </c>
      <c r="BG37" s="499">
        <f t="shared" si="6"/>
        <v>0</v>
      </c>
      <c r="BH37" s="499">
        <f t="shared" si="6"/>
        <v>0</v>
      </c>
      <c r="BI37" s="499">
        <f t="shared" si="6"/>
        <v>0</v>
      </c>
      <c r="BJ37" s="499">
        <f t="shared" si="6"/>
        <v>0</v>
      </c>
      <c r="BK37" s="501">
        <f t="shared" si="6"/>
        <v>0</v>
      </c>
      <c r="BL37" s="499">
        <f t="shared" si="6"/>
        <v>0</v>
      </c>
      <c r="BM37" s="499">
        <f t="shared" si="6"/>
        <v>0</v>
      </c>
      <c r="BN37" s="499">
        <f t="shared" si="6"/>
        <v>0</v>
      </c>
      <c r="BO37" s="499">
        <f t="shared" ref="BO37:CT37" si="7">SUM(BO33:BO36)</f>
        <v>0</v>
      </c>
      <c r="BP37" s="499">
        <f t="shared" si="7"/>
        <v>0</v>
      </c>
      <c r="BQ37" s="499">
        <f t="shared" si="7"/>
        <v>0</v>
      </c>
      <c r="BR37" s="499">
        <f t="shared" si="7"/>
        <v>0</v>
      </c>
      <c r="BS37" s="499">
        <f t="shared" si="7"/>
        <v>0</v>
      </c>
      <c r="BT37" s="499">
        <f t="shared" si="7"/>
        <v>0</v>
      </c>
      <c r="BU37" s="499">
        <f t="shared" si="7"/>
        <v>0</v>
      </c>
      <c r="BV37" s="499">
        <f t="shared" si="7"/>
        <v>0</v>
      </c>
      <c r="BW37" s="499">
        <f t="shared" si="7"/>
        <v>0</v>
      </c>
      <c r="BX37" s="499">
        <f t="shared" si="7"/>
        <v>0</v>
      </c>
      <c r="BY37" s="499">
        <f t="shared" si="7"/>
        <v>0</v>
      </c>
      <c r="BZ37" s="499">
        <f t="shared" si="7"/>
        <v>0</v>
      </c>
      <c r="CA37" s="501">
        <f t="shared" si="7"/>
        <v>0</v>
      </c>
      <c r="CB37" s="499">
        <f t="shared" si="7"/>
        <v>0</v>
      </c>
      <c r="CC37" s="499">
        <f t="shared" si="7"/>
        <v>0</v>
      </c>
      <c r="CD37" s="499">
        <f t="shared" si="7"/>
        <v>0</v>
      </c>
      <c r="CE37" s="499">
        <f t="shared" si="7"/>
        <v>0</v>
      </c>
      <c r="CF37" s="499">
        <f t="shared" si="7"/>
        <v>0</v>
      </c>
      <c r="CG37" s="499">
        <f t="shared" si="7"/>
        <v>0</v>
      </c>
      <c r="CH37" s="499">
        <f t="shared" si="7"/>
        <v>0</v>
      </c>
      <c r="CI37" s="499">
        <f t="shared" si="7"/>
        <v>0</v>
      </c>
      <c r="CJ37" s="499">
        <f t="shared" si="7"/>
        <v>0</v>
      </c>
      <c r="CK37" s="499">
        <f t="shared" si="7"/>
        <v>0</v>
      </c>
      <c r="CL37" s="499">
        <f t="shared" si="7"/>
        <v>0</v>
      </c>
      <c r="CM37" s="499">
        <f t="shared" si="7"/>
        <v>0</v>
      </c>
      <c r="CN37" s="499">
        <f t="shared" si="7"/>
        <v>0</v>
      </c>
      <c r="CO37" s="499">
        <f t="shared" si="7"/>
        <v>0</v>
      </c>
      <c r="CP37" s="499">
        <f t="shared" si="7"/>
        <v>0</v>
      </c>
      <c r="CQ37" s="499">
        <f t="shared" si="7"/>
        <v>0</v>
      </c>
      <c r="CR37" s="499">
        <f t="shared" si="7"/>
        <v>0</v>
      </c>
      <c r="CS37" s="499">
        <f t="shared" si="7"/>
        <v>0</v>
      </c>
      <c r="CT37" s="499">
        <f t="shared" si="7"/>
        <v>0</v>
      </c>
      <c r="CU37" s="499">
        <f>SUM(CU33:CU36)</f>
        <v>0</v>
      </c>
      <c r="CV37" s="499">
        <f>SUM(CV33:CV36)</f>
        <v>0</v>
      </c>
      <c r="CW37" s="499">
        <f>SUM(CW33:CW36)</f>
        <v>0</v>
      </c>
      <c r="CX37" s="499">
        <f>SUM(CX33:CX36)</f>
        <v>0</v>
      </c>
      <c r="CY37" s="502">
        <f>SUM(CY33:CY36)</f>
        <v>0</v>
      </c>
    </row>
    <row r="38" spans="1:103" ht="15" customHeight="1" x14ac:dyDescent="0.35">
      <c r="A38" s="891" t="s">
        <v>433</v>
      </c>
      <c r="B38" s="288" t="s">
        <v>454</v>
      </c>
      <c r="C38" s="479">
        <f ca="1">SUM(D38:CY38)</f>
        <v>0</v>
      </c>
      <c r="D38" s="484">
        <f ca="1">IFERROR(VLOOKUP(0,INDIRECT('Lookup Tables'!$K$4),2,FALSE),0)</f>
        <v>0</v>
      </c>
      <c r="E38" s="484">
        <f ca="1">IFERROR(VLOOKUP(E4+1,INDIRECT('Lookup Tables'!$K$4),3,FALSE),0)</f>
        <v>0</v>
      </c>
      <c r="F38" s="484">
        <f ca="1">IFERROR(VLOOKUP(F4+1,INDIRECT('Lookup Tables'!$K$4),3,FALSE),0)</f>
        <v>0</v>
      </c>
      <c r="G38" s="484">
        <f ca="1">IFERROR(VLOOKUP(G4+1,INDIRECT('Lookup Tables'!$K$4),3,FALSE),0)</f>
        <v>0</v>
      </c>
      <c r="H38" s="484">
        <f ca="1">IFERROR(VLOOKUP(H4+1,INDIRECT('Lookup Tables'!$K$4),3,FALSE),0)</f>
        <v>0</v>
      </c>
      <c r="I38" s="484">
        <f ca="1">IFERROR(VLOOKUP(I4+1,INDIRECT('Lookup Tables'!$K$4),3,FALSE),0)</f>
        <v>0</v>
      </c>
      <c r="J38" s="484">
        <f ca="1">IFERROR(VLOOKUP(J4+1,INDIRECT('Lookup Tables'!$K$4),3,FALSE),0)</f>
        <v>0</v>
      </c>
      <c r="K38" s="484">
        <f ca="1">IFERROR(VLOOKUP(K4+1,INDIRECT('Lookup Tables'!$K$4),3,FALSE),0)</f>
        <v>0</v>
      </c>
      <c r="L38" s="484">
        <f ca="1">IFERROR(VLOOKUP(L4+1,INDIRECT('Lookup Tables'!$K$4),3,FALSE),0)</f>
        <v>0</v>
      </c>
      <c r="M38" s="484">
        <f ca="1">IFERROR(VLOOKUP(M4+1,INDIRECT('Lookup Tables'!$K$4),3,FALSE),0)</f>
        <v>0</v>
      </c>
      <c r="N38" s="484">
        <f ca="1">IFERROR(VLOOKUP(N4+1,INDIRECT('Lookup Tables'!$K$4),3,FALSE),0)</f>
        <v>0</v>
      </c>
      <c r="O38" s="484">
        <f ca="1">IFERROR(VLOOKUP(O4+1,INDIRECT('Lookup Tables'!$K$4),3,FALSE),0)</f>
        <v>0</v>
      </c>
      <c r="P38" s="484">
        <f ca="1">IFERROR(VLOOKUP(P4+1,INDIRECT('Lookup Tables'!$K$4),3,FALSE),0)</f>
        <v>0</v>
      </c>
      <c r="Q38" s="484">
        <f ca="1">IFERROR(VLOOKUP(Q4+1,INDIRECT('Lookup Tables'!$K$4),3,FALSE),0)</f>
        <v>0</v>
      </c>
      <c r="R38" s="484">
        <f ca="1">IFERROR(VLOOKUP(R4+1,INDIRECT('Lookup Tables'!$K$4),3,FALSE),0)</f>
        <v>0</v>
      </c>
      <c r="S38" s="484">
        <f ca="1">IFERROR(VLOOKUP(S4+1,INDIRECT('Lookup Tables'!$K$4),3,FALSE),0)</f>
        <v>0</v>
      </c>
      <c r="T38" s="484">
        <f ca="1">IFERROR(VLOOKUP(T4+1,INDIRECT('Lookup Tables'!$K$4),3,FALSE),0)</f>
        <v>0</v>
      </c>
      <c r="U38" s="484">
        <f ca="1">IFERROR(VLOOKUP(U4+1,INDIRECT('Lookup Tables'!$K$4),3,FALSE),0)</f>
        <v>0</v>
      </c>
      <c r="V38" s="484">
        <f ca="1">IFERROR(VLOOKUP(V4+1,INDIRECT('Lookup Tables'!$K$4),3,FALSE),0)</f>
        <v>0</v>
      </c>
      <c r="W38" s="484">
        <f ca="1">IFERROR(VLOOKUP(W4+1,INDIRECT('Lookup Tables'!$K$4),3,FALSE),0)</f>
        <v>0</v>
      </c>
      <c r="X38" s="484">
        <f ca="1">IFERROR(VLOOKUP(X4+1,INDIRECT('Lookup Tables'!$K$4),3,FALSE),0)</f>
        <v>0</v>
      </c>
      <c r="Y38" s="484">
        <f ca="1">IFERROR(VLOOKUP(Y4+1,INDIRECT('Lookup Tables'!$K$4),3,FALSE),0)</f>
        <v>0</v>
      </c>
      <c r="Z38" s="484">
        <f ca="1">IFERROR(VLOOKUP(Z4+1,INDIRECT('Lookup Tables'!$K$4),3,FALSE),0)</f>
        <v>0</v>
      </c>
      <c r="AA38" s="484">
        <f ca="1">IFERROR(VLOOKUP(AA4+1,INDIRECT('Lookup Tables'!$K$4),3,FALSE),0)</f>
        <v>0</v>
      </c>
      <c r="AB38" s="484">
        <f ca="1">IFERROR(VLOOKUP(AB4+1,INDIRECT('Lookup Tables'!$K$4),3,FALSE),0)</f>
        <v>0</v>
      </c>
      <c r="AC38" s="484">
        <f ca="1">IFERROR(VLOOKUP(AC4+1,INDIRECT('Lookup Tables'!$K$4),3,FALSE),0)</f>
        <v>0</v>
      </c>
      <c r="AD38" s="484">
        <f ca="1">IFERROR(VLOOKUP(AD4+1,INDIRECT('Lookup Tables'!$K$4),3,FALSE),0)</f>
        <v>0</v>
      </c>
      <c r="AE38" s="484">
        <f ca="1">IFERROR(VLOOKUP(AE4+1,INDIRECT('Lookup Tables'!$K$4),3,FALSE),0)</f>
        <v>0</v>
      </c>
      <c r="AF38" s="484">
        <f ca="1">IFERROR(VLOOKUP(AF4+1,INDIRECT('Lookup Tables'!$K$4),3,FALSE),0)</f>
        <v>0</v>
      </c>
      <c r="AG38" s="484">
        <f ca="1">IFERROR(VLOOKUP(AG4+1,INDIRECT('Lookup Tables'!$K$4),3,FALSE),0)</f>
        <v>0</v>
      </c>
      <c r="AH38" s="484">
        <f ca="1">IFERROR(VLOOKUP(AH4+1,INDIRECT('Lookup Tables'!$K$4),3,FALSE),0)</f>
        <v>0</v>
      </c>
      <c r="AI38" s="484">
        <f ca="1">IFERROR(VLOOKUP(AI4+1,INDIRECT('Lookup Tables'!$K$4),3,FALSE),0)</f>
        <v>0</v>
      </c>
      <c r="AJ38" s="484">
        <f ca="1">IFERROR(VLOOKUP(AJ4+1,INDIRECT('Lookup Tables'!$K$4),3,FALSE),0)</f>
        <v>0</v>
      </c>
      <c r="AK38" s="484">
        <f ca="1">IFERROR(VLOOKUP(AK4+1,INDIRECT('Lookup Tables'!$K$4),3,FALSE),0)</f>
        <v>0</v>
      </c>
      <c r="AL38" s="484">
        <f ca="1">IFERROR(VLOOKUP(AL4+1,INDIRECT('Lookup Tables'!$K$4),3,FALSE),0)</f>
        <v>0</v>
      </c>
      <c r="AM38" s="484">
        <f ca="1">IFERROR(VLOOKUP(AM4+1,INDIRECT('Lookup Tables'!$K$4),3,FALSE),0)</f>
        <v>0</v>
      </c>
      <c r="AN38" s="484">
        <f ca="1">IFERROR(VLOOKUP(AN4+1,INDIRECT('Lookup Tables'!$K$4),3,FALSE),0)</f>
        <v>0</v>
      </c>
      <c r="AO38" s="488">
        <f ca="1">IFERROR(VLOOKUP(AO4+1,INDIRECT('Lookup Tables'!$K$4),3,FALSE),0)</f>
        <v>0</v>
      </c>
      <c r="AP38" s="484">
        <f ca="1">IFERROR(VLOOKUP(AP4+1,INDIRECT('Lookup Tables'!$K$4),3,FALSE),0)</f>
        <v>0</v>
      </c>
      <c r="AQ38" s="484">
        <f ca="1">IFERROR(VLOOKUP(AQ4+1,INDIRECT('Lookup Tables'!$K$4),3,FALSE),0)</f>
        <v>0</v>
      </c>
      <c r="AR38" s="484">
        <f ca="1">IFERROR(VLOOKUP(AR4+1,INDIRECT('Lookup Tables'!$K$4),3,FALSE),0)</f>
        <v>0</v>
      </c>
      <c r="AS38" s="484">
        <f ca="1">IFERROR(VLOOKUP(AS4+1,INDIRECT('Lookup Tables'!$K$4),3,FALSE),0)</f>
        <v>0</v>
      </c>
      <c r="AT38" s="484">
        <f ca="1">IFERROR(VLOOKUP(AT4+1,INDIRECT('Lookup Tables'!$K$4),3,FALSE),0)</f>
        <v>0</v>
      </c>
      <c r="AU38" s="484">
        <f ca="1">IFERROR(VLOOKUP(AU4+1,INDIRECT('Lookup Tables'!$K$4),3,FALSE),0)</f>
        <v>0</v>
      </c>
      <c r="AV38" s="484">
        <f ca="1">IFERROR(VLOOKUP(AV4+1,INDIRECT('Lookup Tables'!$K$4),3,FALSE),0)</f>
        <v>0</v>
      </c>
      <c r="AW38" s="484">
        <f ca="1">IFERROR(VLOOKUP(AW4+1,INDIRECT('Lookup Tables'!$K$4),3,FALSE),0)</f>
        <v>0</v>
      </c>
      <c r="AX38" s="484">
        <f ca="1">IFERROR(VLOOKUP(AX4+1,INDIRECT('Lookup Tables'!$K$4),3,FALSE),0)</f>
        <v>0</v>
      </c>
      <c r="AY38" s="484">
        <f ca="1">IFERROR(VLOOKUP(AY4+1,INDIRECT('Lookup Tables'!$K$4),3,FALSE),0)</f>
        <v>0</v>
      </c>
      <c r="AZ38" s="484">
        <f ca="1">IFERROR(VLOOKUP(AZ4+1,INDIRECT('Lookup Tables'!$K$4),3,FALSE),0)</f>
        <v>0</v>
      </c>
      <c r="BA38" s="484">
        <f ca="1">IFERROR(VLOOKUP(BA4+1,INDIRECT('Lookup Tables'!$K$4),3,FALSE),0)</f>
        <v>0</v>
      </c>
      <c r="BB38" s="484">
        <f ca="1">IFERROR(VLOOKUP(BB4+1,INDIRECT('Lookup Tables'!$K$4),3,FALSE),0)</f>
        <v>0</v>
      </c>
      <c r="BC38" s="484">
        <f ca="1">IFERROR(VLOOKUP(BC4+1,INDIRECT('Lookup Tables'!$K$4),3,FALSE),0)</f>
        <v>0</v>
      </c>
      <c r="BD38" s="484">
        <f ca="1">IFERROR(VLOOKUP(BD4+1,INDIRECT('Lookup Tables'!$K$4),3,FALSE),0)</f>
        <v>0</v>
      </c>
      <c r="BE38" s="484">
        <f ca="1">IFERROR(VLOOKUP(BE4+1,INDIRECT('Lookup Tables'!$K$4),3,FALSE),0)</f>
        <v>0</v>
      </c>
      <c r="BF38" s="484">
        <f ca="1">IFERROR(VLOOKUP(BF4+1,INDIRECT('Lookup Tables'!$K$4),3,FALSE),0)</f>
        <v>0</v>
      </c>
      <c r="BG38" s="484">
        <f ca="1">IFERROR(VLOOKUP(BG4+1,INDIRECT('Lookup Tables'!$K$4),3,FALSE),0)</f>
        <v>0</v>
      </c>
      <c r="BH38" s="484">
        <f ca="1">IFERROR(VLOOKUP(BH4+1,INDIRECT('Lookup Tables'!$K$4),3,FALSE),0)</f>
        <v>0</v>
      </c>
      <c r="BI38" s="484">
        <f ca="1">IFERROR(VLOOKUP(BI4+1,INDIRECT('Lookup Tables'!$K$4),3,FALSE),0)</f>
        <v>0</v>
      </c>
      <c r="BJ38" s="484">
        <f ca="1">IFERROR(VLOOKUP(BJ4+1,INDIRECT('Lookup Tables'!$K$4),3,FALSE),0)</f>
        <v>0</v>
      </c>
      <c r="BK38" s="488">
        <f ca="1">IFERROR(VLOOKUP(BK4+1,INDIRECT('Lookup Tables'!$K$4),3,FALSE),0)</f>
        <v>0</v>
      </c>
      <c r="BL38" s="484">
        <f ca="1">IFERROR(VLOOKUP(BL4+1,INDIRECT('Lookup Tables'!$K$4),3,FALSE),0)</f>
        <v>0</v>
      </c>
      <c r="BM38" s="484">
        <f ca="1">IFERROR(VLOOKUP(BM4+1,INDIRECT('Lookup Tables'!$K$4),3,FALSE),0)</f>
        <v>0</v>
      </c>
      <c r="BN38" s="484">
        <f ca="1">IFERROR(VLOOKUP(BN4+1,INDIRECT('Lookup Tables'!$K$4),3,FALSE),0)</f>
        <v>0</v>
      </c>
      <c r="BO38" s="484">
        <f ca="1">IFERROR(VLOOKUP(BO4+1,INDIRECT('Lookup Tables'!$K$4),3,FALSE),0)</f>
        <v>0</v>
      </c>
      <c r="BP38" s="484">
        <f ca="1">IFERROR(VLOOKUP(BP4+1,INDIRECT('Lookup Tables'!$K$4),3,FALSE),0)</f>
        <v>0</v>
      </c>
      <c r="BQ38" s="484">
        <f ca="1">IFERROR(VLOOKUP(BQ4+1,INDIRECT('Lookup Tables'!$K$4),3,FALSE),0)</f>
        <v>0</v>
      </c>
      <c r="BR38" s="484">
        <f ca="1">IFERROR(VLOOKUP(BR4+1,INDIRECT('Lookup Tables'!$K$4),3,FALSE),0)</f>
        <v>0</v>
      </c>
      <c r="BS38" s="484">
        <f ca="1">IFERROR(VLOOKUP(BS4+1,INDIRECT('Lookup Tables'!$K$4),3,FALSE),0)</f>
        <v>0</v>
      </c>
      <c r="BT38" s="484">
        <f ca="1">IFERROR(VLOOKUP(BT4+1,INDIRECT('Lookup Tables'!$K$4),3,FALSE),0)</f>
        <v>0</v>
      </c>
      <c r="BU38" s="484">
        <f ca="1">IFERROR(VLOOKUP(BU4+1,INDIRECT('Lookup Tables'!$K$4),3,FALSE),0)</f>
        <v>0</v>
      </c>
      <c r="BV38" s="484">
        <f ca="1">IFERROR(VLOOKUP(BV4+1,INDIRECT('Lookup Tables'!$K$4),3,FALSE),0)</f>
        <v>0</v>
      </c>
      <c r="BW38" s="484">
        <f ca="1">IFERROR(VLOOKUP(BW4+1,INDIRECT('Lookup Tables'!$K$4),3,FALSE),0)</f>
        <v>0</v>
      </c>
      <c r="BX38" s="484">
        <f ca="1">IFERROR(VLOOKUP(BX4+1,INDIRECT('Lookup Tables'!$K$4),3,FALSE),0)</f>
        <v>0</v>
      </c>
      <c r="BY38" s="484">
        <f ca="1">IFERROR(VLOOKUP(BY4+1,INDIRECT('Lookup Tables'!$K$4),3,FALSE),0)</f>
        <v>0</v>
      </c>
      <c r="BZ38" s="484">
        <f ca="1">IFERROR(VLOOKUP(BZ4+1,INDIRECT('Lookup Tables'!$K$4),3,FALSE),0)</f>
        <v>0</v>
      </c>
      <c r="CA38" s="488">
        <f ca="1">IFERROR(VLOOKUP(CA4+1,INDIRECT('Lookup Tables'!$K$4),3,FALSE),0)</f>
        <v>0</v>
      </c>
      <c r="CB38" s="484">
        <f ca="1">IFERROR(VLOOKUP(CB4+1,INDIRECT('Lookup Tables'!$K$4),3,FALSE),0)</f>
        <v>0</v>
      </c>
      <c r="CC38" s="484">
        <f ca="1">IFERROR(VLOOKUP(CC4+1,INDIRECT('Lookup Tables'!$K$4),3,FALSE),0)</f>
        <v>0</v>
      </c>
      <c r="CD38" s="484">
        <f ca="1">IFERROR(VLOOKUP(CD4+1,INDIRECT('Lookup Tables'!$K$4),3,FALSE),0)</f>
        <v>0</v>
      </c>
      <c r="CE38" s="484">
        <f ca="1">IFERROR(VLOOKUP(CE4+1,INDIRECT('Lookup Tables'!$K$4),3,FALSE),0)</f>
        <v>0</v>
      </c>
      <c r="CF38" s="484">
        <f ca="1">IFERROR(VLOOKUP(CF4+1,INDIRECT('Lookup Tables'!$K$4),3,FALSE),0)</f>
        <v>0</v>
      </c>
      <c r="CG38" s="484">
        <f ca="1">IFERROR(VLOOKUP(CG4+1,INDIRECT('Lookup Tables'!$K$4),3,FALSE),0)</f>
        <v>0</v>
      </c>
      <c r="CH38" s="484">
        <f ca="1">IFERROR(VLOOKUP(CH4+1,INDIRECT('Lookup Tables'!$K$4),3,FALSE),0)</f>
        <v>0</v>
      </c>
      <c r="CI38" s="484">
        <f ca="1">IFERROR(VLOOKUP(CI4+1,INDIRECT('Lookup Tables'!$K$4),3,FALSE),0)</f>
        <v>0</v>
      </c>
      <c r="CJ38" s="484">
        <f ca="1">IFERROR(VLOOKUP(CJ4+1,INDIRECT('Lookup Tables'!$K$4),3,FALSE),0)</f>
        <v>0</v>
      </c>
      <c r="CK38" s="484">
        <f ca="1">IFERROR(VLOOKUP(CK4+1,INDIRECT('Lookup Tables'!$K$4),3,FALSE),0)</f>
        <v>0</v>
      </c>
      <c r="CL38" s="484">
        <f ca="1">IFERROR(VLOOKUP(CL4+1,INDIRECT('Lookup Tables'!$K$4),3,FALSE),0)</f>
        <v>0</v>
      </c>
      <c r="CM38" s="484">
        <f ca="1">IFERROR(VLOOKUP(CM4+1,INDIRECT('Lookup Tables'!$K$4),3,FALSE),0)</f>
        <v>0</v>
      </c>
      <c r="CN38" s="484">
        <f ca="1">IFERROR(VLOOKUP(CN4+1,INDIRECT('Lookup Tables'!$K$4),3,FALSE),0)</f>
        <v>0</v>
      </c>
      <c r="CO38" s="484">
        <f ca="1">IFERROR(VLOOKUP(CO4+1,INDIRECT('Lookup Tables'!$K$4),3,FALSE),0)</f>
        <v>0</v>
      </c>
      <c r="CP38" s="484">
        <f ca="1">IFERROR(VLOOKUP(CP4+1,INDIRECT('Lookup Tables'!$K$4),3,FALSE),0)</f>
        <v>0</v>
      </c>
      <c r="CQ38" s="484">
        <f ca="1">IFERROR(VLOOKUP(CQ4+1,INDIRECT('Lookup Tables'!$K$4),3,FALSE),0)</f>
        <v>0</v>
      </c>
      <c r="CR38" s="484">
        <f ca="1">IFERROR(VLOOKUP(CR4+1,INDIRECT('Lookup Tables'!$K$4),3,FALSE),0)</f>
        <v>0</v>
      </c>
      <c r="CS38" s="484">
        <f ca="1">IFERROR(VLOOKUP(CS4+1,INDIRECT('Lookup Tables'!$K$4),3,FALSE),0)</f>
        <v>0</v>
      </c>
      <c r="CT38" s="484">
        <f ca="1">IFERROR(VLOOKUP(CT4+1,INDIRECT('Lookup Tables'!$K$4),3,FALSE),0)</f>
        <v>0</v>
      </c>
      <c r="CU38" s="484">
        <f ca="1">IFERROR(VLOOKUP(CU4+1,INDIRECT('Lookup Tables'!$K$4),3,FALSE),0)</f>
        <v>0</v>
      </c>
      <c r="CV38" s="484">
        <f ca="1">IFERROR(VLOOKUP(CV4+1,INDIRECT('Lookup Tables'!$K$4),3,FALSE),0)</f>
        <v>0</v>
      </c>
      <c r="CW38" s="484">
        <f ca="1">IFERROR(VLOOKUP(CW4+1,INDIRECT('Lookup Tables'!$K$4),3,FALSE),0)</f>
        <v>0</v>
      </c>
      <c r="CX38" s="484">
        <f ca="1">IFERROR(VLOOKUP(CX4+1,INDIRECT('Lookup Tables'!$K$4),3,FALSE),0)</f>
        <v>0</v>
      </c>
      <c r="CY38" s="507">
        <f ca="1">IFERROR(VLOOKUP(CY4+1,INDIRECT('Lookup Tables'!$K$4),3,FALSE),0)</f>
        <v>0</v>
      </c>
    </row>
    <row r="39" spans="1:103" ht="15" customHeight="1" x14ac:dyDescent="0.35">
      <c r="A39" s="891"/>
      <c r="B39" s="288" t="s">
        <v>224</v>
      </c>
      <c r="C39" s="479" t="e">
        <f ca="1">SUM(D39:CY39)</f>
        <v>#REF!</v>
      </c>
      <c r="D39" s="484" t="e">
        <f ca="1">VLOOKUP(D4,INDIRECT('Lookup Tables'!$K$4),5,FALSE)</f>
        <v>#REF!</v>
      </c>
      <c r="E39" s="484">
        <f ca="1">IFERROR(VLOOKUP(E4+1,INDIRECT('Lookup Tables'!$K$4),5,FALSE),0)</f>
        <v>0</v>
      </c>
      <c r="F39" s="484">
        <f ca="1">IFERROR(VLOOKUP(F4+1,INDIRECT('Lookup Tables'!$K$4),5,FALSE),0)</f>
        <v>0</v>
      </c>
      <c r="G39" s="484">
        <f ca="1">IFERROR(VLOOKUP(G4+1,INDIRECT('Lookup Tables'!$K$4),5,FALSE),0)</f>
        <v>0</v>
      </c>
      <c r="H39" s="484">
        <f ca="1">IFERROR(VLOOKUP(H4+1,INDIRECT('Lookup Tables'!$K$4),5,FALSE),0)</f>
        <v>0</v>
      </c>
      <c r="I39" s="484">
        <f ca="1">IFERROR(VLOOKUP(I4+1,INDIRECT('Lookup Tables'!$K$4),5,FALSE),0)</f>
        <v>0</v>
      </c>
      <c r="J39" s="484">
        <f ca="1">IFERROR(VLOOKUP(J4+1,INDIRECT('Lookup Tables'!$K$4),5,FALSE),0)</f>
        <v>0</v>
      </c>
      <c r="K39" s="484">
        <f ca="1">IFERROR(VLOOKUP(K4+1,INDIRECT('Lookup Tables'!$K$4),5,FALSE),0)</f>
        <v>0</v>
      </c>
      <c r="L39" s="484">
        <f ca="1">IFERROR(VLOOKUP(L4+1,INDIRECT('Lookup Tables'!$K$4),5,FALSE),0)</f>
        <v>0</v>
      </c>
      <c r="M39" s="484">
        <f ca="1">IFERROR(VLOOKUP(M4+1,INDIRECT('Lookup Tables'!$K$4),5,FALSE),0)</f>
        <v>0</v>
      </c>
      <c r="N39" s="484">
        <f ca="1">IFERROR(VLOOKUP(N4+1,INDIRECT('Lookup Tables'!$K$4),5,FALSE),0)</f>
        <v>0</v>
      </c>
      <c r="O39" s="484">
        <f ca="1">IFERROR(VLOOKUP(O4+1,INDIRECT('Lookup Tables'!$K$4),5,FALSE),0)</f>
        <v>0</v>
      </c>
      <c r="P39" s="484">
        <f ca="1">IFERROR(VLOOKUP(P4+1,INDIRECT('Lookup Tables'!$K$4),5,FALSE),0)</f>
        <v>0</v>
      </c>
      <c r="Q39" s="484">
        <f ca="1">IFERROR(VLOOKUP(Q4+1,INDIRECT('Lookup Tables'!$K$4),5,FALSE),0)</f>
        <v>0</v>
      </c>
      <c r="R39" s="484">
        <f ca="1">IFERROR(VLOOKUP(R4+1,INDIRECT('Lookup Tables'!$K$4),5,FALSE),0)</f>
        <v>0</v>
      </c>
      <c r="S39" s="484">
        <f ca="1">IFERROR(VLOOKUP(S4+1,INDIRECT('Lookup Tables'!$K$4),5,FALSE),0)</f>
        <v>0</v>
      </c>
      <c r="T39" s="484">
        <f ca="1">IFERROR(VLOOKUP(T4+1,INDIRECT('Lookup Tables'!$K$4),5,FALSE),0)</f>
        <v>0</v>
      </c>
      <c r="U39" s="484">
        <f ca="1">IFERROR(VLOOKUP(U4+1,INDIRECT('Lookup Tables'!$K$4),5,FALSE),0)</f>
        <v>0</v>
      </c>
      <c r="V39" s="484">
        <f ca="1">IFERROR(VLOOKUP(V4+1,INDIRECT('Lookup Tables'!$K$4),5,FALSE),0)</f>
        <v>0</v>
      </c>
      <c r="W39" s="484">
        <f ca="1">IFERROR(VLOOKUP(W4+1,INDIRECT('Lookup Tables'!$K$4),5,FALSE),0)</f>
        <v>0</v>
      </c>
      <c r="X39" s="484">
        <f ca="1">IFERROR(VLOOKUP(X4+1,INDIRECT('Lookup Tables'!$K$4),5,FALSE),0)</f>
        <v>0</v>
      </c>
      <c r="Y39" s="484">
        <f ca="1">IFERROR(VLOOKUP(Y4+1,INDIRECT('Lookup Tables'!$K$4),5,FALSE),0)</f>
        <v>0</v>
      </c>
      <c r="Z39" s="484">
        <f ca="1">IFERROR(VLOOKUP(Z4+1,INDIRECT('Lookup Tables'!$K$4),5,FALSE),0)</f>
        <v>0</v>
      </c>
      <c r="AA39" s="484">
        <f ca="1">IFERROR(VLOOKUP(AA4+1,INDIRECT('Lookup Tables'!$K$4),5,FALSE),0)</f>
        <v>0</v>
      </c>
      <c r="AB39" s="484">
        <f ca="1">IFERROR(VLOOKUP(AB4+1,INDIRECT('Lookup Tables'!$K$4),5,FALSE),0)</f>
        <v>0</v>
      </c>
      <c r="AC39" s="484">
        <f ca="1">IFERROR(VLOOKUP(AC4+1,INDIRECT('Lookup Tables'!$K$4),5,FALSE),0)</f>
        <v>0</v>
      </c>
      <c r="AD39" s="484">
        <f ca="1">IFERROR(VLOOKUP(AD4+1,INDIRECT('Lookup Tables'!$K$4),5,FALSE),0)</f>
        <v>0</v>
      </c>
      <c r="AE39" s="484">
        <f ca="1">IFERROR(VLOOKUP(AE4+1,INDIRECT('Lookup Tables'!$K$4),5,FALSE),0)</f>
        <v>0</v>
      </c>
      <c r="AF39" s="484">
        <f ca="1">IFERROR(VLOOKUP(AF4+1,INDIRECT('Lookup Tables'!$K$4),5,FALSE),0)</f>
        <v>0</v>
      </c>
      <c r="AG39" s="484">
        <f ca="1">IFERROR(VLOOKUP(AG4+1,INDIRECT('Lookup Tables'!$K$4),5,FALSE),0)</f>
        <v>0</v>
      </c>
      <c r="AH39" s="484">
        <f ca="1">IFERROR(VLOOKUP(AH4+1,INDIRECT('Lookup Tables'!$K$4),5,FALSE),0)</f>
        <v>0</v>
      </c>
      <c r="AI39" s="484">
        <f ca="1">IFERROR(VLOOKUP(AI4+1,INDIRECT('Lookup Tables'!$K$4),5,FALSE),0)</f>
        <v>0</v>
      </c>
      <c r="AJ39" s="484">
        <f ca="1">IFERROR(VLOOKUP(AJ4+1,INDIRECT('Lookup Tables'!$K$4),5,FALSE),0)</f>
        <v>0</v>
      </c>
      <c r="AK39" s="484">
        <f ca="1">IFERROR(VLOOKUP(AK4+1,INDIRECT('Lookup Tables'!$K$4),5,FALSE),0)</f>
        <v>0</v>
      </c>
      <c r="AL39" s="484">
        <f ca="1">IFERROR(VLOOKUP(AL4+1,INDIRECT('Lookup Tables'!$K$4),5,FALSE),0)</f>
        <v>0</v>
      </c>
      <c r="AM39" s="484">
        <f ca="1">IFERROR(VLOOKUP(AM4+1,INDIRECT('Lookup Tables'!$K$4),5,FALSE),0)</f>
        <v>0</v>
      </c>
      <c r="AN39" s="484">
        <f ca="1">IFERROR(VLOOKUP(AN4+1,INDIRECT('Lookup Tables'!$K$4),5,FALSE),0)</f>
        <v>0</v>
      </c>
      <c r="AO39" s="488">
        <f ca="1">IFERROR(VLOOKUP(AO4+1,INDIRECT('Lookup Tables'!$K$4),5,FALSE),0)</f>
        <v>0</v>
      </c>
      <c r="AP39" s="484">
        <f ca="1">IFERROR(VLOOKUP(AP4+1,INDIRECT('Lookup Tables'!$K$4),5,FALSE),0)</f>
        <v>0</v>
      </c>
      <c r="AQ39" s="484">
        <f ca="1">IFERROR(VLOOKUP(AQ4+1,INDIRECT('Lookup Tables'!$K$4),5,FALSE),0)</f>
        <v>0</v>
      </c>
      <c r="AR39" s="484">
        <f ca="1">IFERROR(VLOOKUP(AR4+1,INDIRECT('Lookup Tables'!$K$4),5,FALSE),0)</f>
        <v>0</v>
      </c>
      <c r="AS39" s="484">
        <f ca="1">IFERROR(VLOOKUP(AS4+1,INDIRECT('Lookup Tables'!$K$4),5,FALSE),0)</f>
        <v>0</v>
      </c>
      <c r="AT39" s="484">
        <f ca="1">IFERROR(VLOOKUP(AT4+1,INDIRECT('Lookup Tables'!$K$4),5,FALSE),0)</f>
        <v>0</v>
      </c>
      <c r="AU39" s="484">
        <f ca="1">IFERROR(VLOOKUP(AU4+1,INDIRECT('Lookup Tables'!$K$4),5,FALSE),0)</f>
        <v>0</v>
      </c>
      <c r="AV39" s="484">
        <f ca="1">IFERROR(VLOOKUP(AV4+1,INDIRECT('Lookup Tables'!$K$4),5,FALSE),0)</f>
        <v>0</v>
      </c>
      <c r="AW39" s="484">
        <f ca="1">IFERROR(VLOOKUP(AW4+1,INDIRECT('Lookup Tables'!$K$4),5,FALSE),0)</f>
        <v>0</v>
      </c>
      <c r="AX39" s="484">
        <f ca="1">IFERROR(VLOOKUP(AX4+1,INDIRECT('Lookup Tables'!$K$4),5,FALSE),0)</f>
        <v>0</v>
      </c>
      <c r="AY39" s="484">
        <f ca="1">IFERROR(VLOOKUP(AY4+1,INDIRECT('Lookup Tables'!$K$4),5,FALSE),0)</f>
        <v>0</v>
      </c>
      <c r="AZ39" s="484">
        <f ca="1">IFERROR(VLOOKUP(AZ4+1,INDIRECT('Lookup Tables'!$K$4),5,FALSE),0)</f>
        <v>0</v>
      </c>
      <c r="BA39" s="484">
        <f ca="1">IFERROR(VLOOKUP(BA4+1,INDIRECT('Lookup Tables'!$K$4),5,FALSE),0)</f>
        <v>0</v>
      </c>
      <c r="BB39" s="484">
        <f ca="1">IFERROR(VLOOKUP(BB4+1,INDIRECT('Lookup Tables'!$K$4),5,FALSE),0)</f>
        <v>0</v>
      </c>
      <c r="BC39" s="484">
        <f ca="1">IFERROR(VLOOKUP(BC4+1,INDIRECT('Lookup Tables'!$K$4),5,FALSE),0)</f>
        <v>0</v>
      </c>
      <c r="BD39" s="484">
        <f ca="1">IFERROR(VLOOKUP(BD4+1,INDIRECT('Lookup Tables'!$K$4),5,FALSE),0)</f>
        <v>0</v>
      </c>
      <c r="BE39" s="484">
        <f ca="1">IFERROR(VLOOKUP(BE4+1,INDIRECT('Lookup Tables'!$K$4),5,FALSE),0)</f>
        <v>0</v>
      </c>
      <c r="BF39" s="484">
        <f ca="1">IFERROR(VLOOKUP(BF4+1,INDIRECT('Lookup Tables'!$K$4),5,FALSE),0)</f>
        <v>0</v>
      </c>
      <c r="BG39" s="484">
        <f ca="1">IFERROR(VLOOKUP(BG4+1,INDIRECT('Lookup Tables'!$K$4),5,FALSE),0)</f>
        <v>0</v>
      </c>
      <c r="BH39" s="484">
        <f ca="1">IFERROR(VLOOKUP(BH4+1,INDIRECT('Lookup Tables'!$K$4),5,FALSE),0)</f>
        <v>0</v>
      </c>
      <c r="BI39" s="484">
        <f ca="1">IFERROR(VLOOKUP(BI4+1,INDIRECT('Lookup Tables'!$K$4),5,FALSE),0)</f>
        <v>0</v>
      </c>
      <c r="BJ39" s="484">
        <f ca="1">IFERROR(VLOOKUP(BJ4+1,INDIRECT('Lookup Tables'!$K$4),5,FALSE),0)</f>
        <v>0</v>
      </c>
      <c r="BK39" s="488">
        <f ca="1">IFERROR(VLOOKUP(BK4+1,INDIRECT('Lookup Tables'!$K$4),5,FALSE),0)</f>
        <v>0</v>
      </c>
      <c r="BL39" s="484">
        <f ca="1">IFERROR(VLOOKUP(BL4+1,INDIRECT('Lookup Tables'!$K$4),5,FALSE),0)</f>
        <v>0</v>
      </c>
      <c r="BM39" s="484">
        <f ca="1">IFERROR(VLOOKUP(BM4+1,INDIRECT('Lookup Tables'!$K$4),5,FALSE),0)</f>
        <v>0</v>
      </c>
      <c r="BN39" s="484">
        <f ca="1">IFERROR(VLOOKUP(BN4+1,INDIRECT('Lookup Tables'!$K$4),5,FALSE),0)</f>
        <v>0</v>
      </c>
      <c r="BO39" s="484">
        <f ca="1">IFERROR(VLOOKUP(BO4+1,INDIRECT('Lookup Tables'!$K$4),5,FALSE),0)</f>
        <v>0</v>
      </c>
      <c r="BP39" s="484">
        <f ca="1">IFERROR(VLOOKUP(BP4+1,INDIRECT('Lookup Tables'!$K$4),5,FALSE),0)</f>
        <v>0</v>
      </c>
      <c r="BQ39" s="484">
        <f ca="1">IFERROR(VLOOKUP(BQ4+1,INDIRECT('Lookup Tables'!$K$4),5,FALSE),0)</f>
        <v>0</v>
      </c>
      <c r="BR39" s="484">
        <f ca="1">IFERROR(VLOOKUP(BR4+1,INDIRECT('Lookup Tables'!$K$4),5,FALSE),0)</f>
        <v>0</v>
      </c>
      <c r="BS39" s="484">
        <f ca="1">IFERROR(VLOOKUP(BS4+1,INDIRECT('Lookup Tables'!$K$4),5,FALSE),0)</f>
        <v>0</v>
      </c>
      <c r="BT39" s="484">
        <f ca="1">IFERROR(VLOOKUP(BT4+1,INDIRECT('Lookup Tables'!$K$4),5,FALSE),0)</f>
        <v>0</v>
      </c>
      <c r="BU39" s="484">
        <f ca="1">IFERROR(VLOOKUP(BU4+1,INDIRECT('Lookup Tables'!$K$4),5,FALSE),0)</f>
        <v>0</v>
      </c>
      <c r="BV39" s="484">
        <f ca="1">IFERROR(VLOOKUP(BV4+1,INDIRECT('Lookup Tables'!$K$4),5,FALSE),0)</f>
        <v>0</v>
      </c>
      <c r="BW39" s="484">
        <f ca="1">IFERROR(VLOOKUP(BW4+1,INDIRECT('Lookup Tables'!$K$4),5,FALSE),0)</f>
        <v>0</v>
      </c>
      <c r="BX39" s="484">
        <f ca="1">IFERROR(VLOOKUP(BX4+1,INDIRECT('Lookup Tables'!$K$4),5,FALSE),0)</f>
        <v>0</v>
      </c>
      <c r="BY39" s="484">
        <f ca="1">IFERROR(VLOOKUP(BY4+1,INDIRECT('Lookup Tables'!$K$4),5,FALSE),0)</f>
        <v>0</v>
      </c>
      <c r="BZ39" s="484">
        <f ca="1">IFERROR(VLOOKUP(BZ4+1,INDIRECT('Lookup Tables'!$K$4),5,FALSE),0)</f>
        <v>0</v>
      </c>
      <c r="CA39" s="488">
        <f ca="1">IFERROR(VLOOKUP(CA4+1,INDIRECT('Lookup Tables'!$K$4),5,FALSE),0)</f>
        <v>0</v>
      </c>
      <c r="CB39" s="484">
        <f ca="1">IFERROR(VLOOKUP(CB4+1,INDIRECT('Lookup Tables'!$K$4),5,FALSE),0)</f>
        <v>0</v>
      </c>
      <c r="CC39" s="484">
        <f ca="1">IFERROR(VLOOKUP(CC4+1,INDIRECT('Lookup Tables'!$K$4),5,FALSE),0)</f>
        <v>0</v>
      </c>
      <c r="CD39" s="484">
        <f ca="1">IFERROR(VLOOKUP(CD4+1,INDIRECT('Lookup Tables'!$K$4),5,FALSE),0)</f>
        <v>0</v>
      </c>
      <c r="CE39" s="484">
        <f ca="1">IFERROR(VLOOKUP(CE4+1,INDIRECT('Lookup Tables'!$K$4),5,FALSE),0)</f>
        <v>0</v>
      </c>
      <c r="CF39" s="484">
        <f ca="1">IFERROR(VLOOKUP(CF4+1,INDIRECT('Lookup Tables'!$K$4),5,FALSE),0)</f>
        <v>0</v>
      </c>
      <c r="CG39" s="484">
        <f ca="1">IFERROR(VLOOKUP(CG4+1,INDIRECT('Lookup Tables'!$K$4),5,FALSE),0)</f>
        <v>0</v>
      </c>
      <c r="CH39" s="484">
        <f ca="1">IFERROR(VLOOKUP(CH4+1,INDIRECT('Lookup Tables'!$K$4),5,FALSE),0)</f>
        <v>0</v>
      </c>
      <c r="CI39" s="484">
        <f ca="1">IFERROR(VLOOKUP(CI4+1,INDIRECT('Lookup Tables'!$K$4),5,FALSE),0)</f>
        <v>0</v>
      </c>
      <c r="CJ39" s="484">
        <f ca="1">IFERROR(VLOOKUP(CJ4+1,INDIRECT('Lookup Tables'!$K$4),5,FALSE),0)</f>
        <v>0</v>
      </c>
      <c r="CK39" s="484">
        <f ca="1">IFERROR(VLOOKUP(CK4+1,INDIRECT('Lookup Tables'!$K$4),5,FALSE),0)</f>
        <v>0</v>
      </c>
      <c r="CL39" s="484">
        <f ca="1">IFERROR(VLOOKUP(CL4+1,INDIRECT('Lookup Tables'!$K$4),5,FALSE),0)</f>
        <v>0</v>
      </c>
      <c r="CM39" s="484">
        <f ca="1">IFERROR(VLOOKUP(CM4+1,INDIRECT('Lookup Tables'!$K$4),5,FALSE),0)</f>
        <v>0</v>
      </c>
      <c r="CN39" s="484">
        <f ca="1">IFERROR(VLOOKUP(CN4+1,INDIRECT('Lookup Tables'!$K$4),5,FALSE),0)</f>
        <v>0</v>
      </c>
      <c r="CO39" s="484">
        <f ca="1">IFERROR(VLOOKUP(CO4+1,INDIRECT('Lookup Tables'!$K$4),5,FALSE),0)</f>
        <v>0</v>
      </c>
      <c r="CP39" s="484">
        <f ca="1">IFERROR(VLOOKUP(CP4+1,INDIRECT('Lookup Tables'!$K$4),5,FALSE),0)</f>
        <v>0</v>
      </c>
      <c r="CQ39" s="484">
        <f ca="1">IFERROR(VLOOKUP(CQ4+1,INDIRECT('Lookup Tables'!$K$4),5,FALSE),0)</f>
        <v>0</v>
      </c>
      <c r="CR39" s="484">
        <f ca="1">IFERROR(VLOOKUP(CR4+1,INDIRECT('Lookup Tables'!$K$4),5,FALSE),0)</f>
        <v>0</v>
      </c>
      <c r="CS39" s="484">
        <f ca="1">IFERROR(VLOOKUP(CS4+1,INDIRECT('Lookup Tables'!$K$4),5,FALSE),0)</f>
        <v>0</v>
      </c>
      <c r="CT39" s="484">
        <f ca="1">IFERROR(VLOOKUP(CT4+1,INDIRECT('Lookup Tables'!$K$4),5,FALSE),0)</f>
        <v>0</v>
      </c>
      <c r="CU39" s="484">
        <f ca="1">IFERROR(VLOOKUP(CU4+1,INDIRECT('Lookup Tables'!$K$4),5,FALSE),0)</f>
        <v>0</v>
      </c>
      <c r="CV39" s="484">
        <f ca="1">IFERROR(VLOOKUP(CV4+1,INDIRECT('Lookup Tables'!$K$4),5,FALSE),0)</f>
        <v>0</v>
      </c>
      <c r="CW39" s="484">
        <f ca="1">IFERROR(VLOOKUP(CW4+1,INDIRECT('Lookup Tables'!$K$4),5,FALSE),0)</f>
        <v>0</v>
      </c>
      <c r="CX39" s="484">
        <f ca="1">IFERROR(VLOOKUP(CX4+1,INDIRECT('Lookup Tables'!$K$4),5,FALSE),0)</f>
        <v>0</v>
      </c>
      <c r="CY39" s="507">
        <f ca="1">IFERROR(VLOOKUP(CY4+1,INDIRECT('Lookup Tables'!$K$4),5,FALSE),0)</f>
        <v>0</v>
      </c>
    </row>
    <row r="40" spans="1:103" ht="15" customHeight="1" x14ac:dyDescent="0.35">
      <c r="A40" s="891"/>
      <c r="B40" s="288" t="s">
        <v>455</v>
      </c>
      <c r="C40" s="479" t="e">
        <f ca="1">SUM(D40:CY40)</f>
        <v>#REF!</v>
      </c>
      <c r="D40" s="484" t="e">
        <f ca="1">VLOOKUP(D4,INDIRECT('Lookup Tables'!$K$4),6,FALSE)</f>
        <v>#REF!</v>
      </c>
      <c r="E40" s="484">
        <f ca="1">IFERROR(VLOOKUP(E4+1,INDIRECT('Lookup Tables'!$K$4),6,FALSE),0)</f>
        <v>0</v>
      </c>
      <c r="F40" s="484">
        <f ca="1">IFERROR(VLOOKUP(F4+1,INDIRECT('Lookup Tables'!$K$4),6,FALSE),0)</f>
        <v>0</v>
      </c>
      <c r="G40" s="484">
        <f ca="1">IFERROR(VLOOKUP(G4+1,INDIRECT('Lookup Tables'!$K$4),6,FALSE),0)</f>
        <v>0</v>
      </c>
      <c r="H40" s="484">
        <f ca="1">IFERROR(VLOOKUP(H4+1,INDIRECT('Lookup Tables'!$K$4),6,FALSE),0)</f>
        <v>0</v>
      </c>
      <c r="I40" s="484">
        <f ca="1">IFERROR(VLOOKUP(I4+1,INDIRECT('Lookup Tables'!$K$4),6,FALSE),0)</f>
        <v>0</v>
      </c>
      <c r="J40" s="484">
        <f ca="1">IFERROR(VLOOKUP(J4+1,INDIRECT('Lookup Tables'!$K$4),6,FALSE),0)</f>
        <v>0</v>
      </c>
      <c r="K40" s="484">
        <f ca="1">IFERROR(VLOOKUP(K4+1,INDIRECT('Lookup Tables'!$K$4),6,FALSE),0)</f>
        <v>0</v>
      </c>
      <c r="L40" s="484">
        <f ca="1">IFERROR(VLOOKUP(L4+1,INDIRECT('Lookup Tables'!$K$4),6,FALSE),0)</f>
        <v>0</v>
      </c>
      <c r="M40" s="484">
        <f ca="1">IFERROR(VLOOKUP(M4+1,INDIRECT('Lookup Tables'!$K$4),6,FALSE),0)</f>
        <v>0</v>
      </c>
      <c r="N40" s="484">
        <f ca="1">IFERROR(VLOOKUP(N4+1,INDIRECT('Lookup Tables'!$K$4),6,FALSE),0)</f>
        <v>0</v>
      </c>
      <c r="O40" s="484">
        <f ca="1">IFERROR(VLOOKUP(O4+1,INDIRECT('Lookup Tables'!$K$4),6,FALSE),0)</f>
        <v>0</v>
      </c>
      <c r="P40" s="484">
        <f ca="1">IFERROR(VLOOKUP(P4+1,INDIRECT('Lookup Tables'!$K$4),6,FALSE),0)</f>
        <v>0</v>
      </c>
      <c r="Q40" s="484">
        <f ca="1">IFERROR(VLOOKUP(Q4+1,INDIRECT('Lookup Tables'!$K$4),6,FALSE),0)</f>
        <v>0</v>
      </c>
      <c r="R40" s="484">
        <f ca="1">IFERROR(VLOOKUP(R4+1,INDIRECT('Lookup Tables'!$K$4),6,FALSE),0)</f>
        <v>0</v>
      </c>
      <c r="S40" s="484">
        <f ca="1">IFERROR(VLOOKUP(S4+1,INDIRECT('Lookup Tables'!$K$4),6,FALSE),0)</f>
        <v>0</v>
      </c>
      <c r="T40" s="484">
        <f ca="1">IFERROR(VLOOKUP(T4+1,INDIRECT('Lookup Tables'!$K$4),6,FALSE),0)</f>
        <v>0</v>
      </c>
      <c r="U40" s="484">
        <f ca="1">IFERROR(VLOOKUP(U4+1,INDIRECT('Lookup Tables'!$K$4),6,FALSE),0)</f>
        <v>0</v>
      </c>
      <c r="V40" s="484">
        <f ca="1">IFERROR(VLOOKUP(V4+1,INDIRECT('Lookup Tables'!$K$4),6,FALSE),0)</f>
        <v>0</v>
      </c>
      <c r="W40" s="484">
        <f ca="1">IFERROR(VLOOKUP(W4+1,INDIRECT('Lookup Tables'!$K$4),6,FALSE),0)</f>
        <v>0</v>
      </c>
      <c r="X40" s="484">
        <f ca="1">IFERROR(VLOOKUP(X4+1,INDIRECT('Lookup Tables'!$K$4),6,FALSE),0)</f>
        <v>0</v>
      </c>
      <c r="Y40" s="484">
        <f ca="1">IFERROR(VLOOKUP(Y4+1,INDIRECT('Lookup Tables'!$K$4),6,FALSE),0)</f>
        <v>0</v>
      </c>
      <c r="Z40" s="484">
        <f ca="1">IFERROR(VLOOKUP(Z4+1,INDIRECT('Lookup Tables'!$K$4),6,FALSE),0)</f>
        <v>0</v>
      </c>
      <c r="AA40" s="484">
        <f ca="1">IFERROR(VLOOKUP(AA4+1,INDIRECT('Lookup Tables'!$K$4),6,FALSE),0)</f>
        <v>0</v>
      </c>
      <c r="AB40" s="484">
        <f ca="1">IFERROR(VLOOKUP(AB4+1,INDIRECT('Lookup Tables'!$K$4),6,FALSE),0)</f>
        <v>0</v>
      </c>
      <c r="AC40" s="484">
        <f ca="1">IFERROR(VLOOKUP(AC4+1,INDIRECT('Lookup Tables'!$K$4),6,FALSE),0)</f>
        <v>0</v>
      </c>
      <c r="AD40" s="484">
        <f ca="1">IFERROR(VLOOKUP(AD4+1,INDIRECT('Lookup Tables'!$K$4),6,FALSE),0)</f>
        <v>0</v>
      </c>
      <c r="AE40" s="484">
        <f ca="1">IFERROR(VLOOKUP(AE4+1,INDIRECT('Lookup Tables'!$K$4),6,FALSE),0)</f>
        <v>0</v>
      </c>
      <c r="AF40" s="484">
        <f ca="1">IFERROR(VLOOKUP(AF4+1,INDIRECT('Lookup Tables'!$K$4),6,FALSE),0)</f>
        <v>0</v>
      </c>
      <c r="AG40" s="484">
        <f ca="1">IFERROR(VLOOKUP(AG4+1,INDIRECT('Lookup Tables'!$K$4),6,FALSE),0)</f>
        <v>0</v>
      </c>
      <c r="AH40" s="484">
        <f ca="1">IFERROR(VLOOKUP(AH4+1,INDIRECT('Lookup Tables'!$K$4),6,FALSE),0)</f>
        <v>0</v>
      </c>
      <c r="AI40" s="484">
        <f ca="1">IFERROR(VLOOKUP(AI4+1,INDIRECT('Lookup Tables'!$K$4),6,FALSE),0)</f>
        <v>0</v>
      </c>
      <c r="AJ40" s="484">
        <f ca="1">IFERROR(VLOOKUP(AJ4+1,INDIRECT('Lookup Tables'!$K$4),6,FALSE),0)</f>
        <v>0</v>
      </c>
      <c r="AK40" s="484">
        <f ca="1">IFERROR(VLOOKUP(AK4+1,INDIRECT('Lookup Tables'!$K$4),6,FALSE),0)</f>
        <v>0</v>
      </c>
      <c r="AL40" s="484">
        <f ca="1">IFERROR(VLOOKUP(AL4+1,INDIRECT('Lookup Tables'!$K$4),6,FALSE),0)</f>
        <v>0</v>
      </c>
      <c r="AM40" s="484">
        <f ca="1">IFERROR(VLOOKUP(AM4+1,INDIRECT('Lookup Tables'!$K$4),6,FALSE),0)</f>
        <v>0</v>
      </c>
      <c r="AN40" s="484">
        <f ca="1">IFERROR(VLOOKUP(AN4+1,INDIRECT('Lookup Tables'!$K$4),6,FALSE),0)</f>
        <v>0</v>
      </c>
      <c r="AO40" s="488">
        <f ca="1">IFERROR(VLOOKUP(AO4+1,INDIRECT('Lookup Tables'!$K$4),6,FALSE),0)</f>
        <v>0</v>
      </c>
      <c r="AP40" s="484">
        <f ca="1">IFERROR(VLOOKUP(AP4+1,INDIRECT('Lookup Tables'!$K$4),6,FALSE),0)</f>
        <v>0</v>
      </c>
      <c r="AQ40" s="484">
        <f ca="1">IFERROR(VLOOKUP(AQ4+1,INDIRECT('Lookup Tables'!$K$4),6,FALSE),0)</f>
        <v>0</v>
      </c>
      <c r="AR40" s="484">
        <f ca="1">IFERROR(VLOOKUP(AR4+1,INDIRECT('Lookup Tables'!$K$4),6,FALSE),0)</f>
        <v>0</v>
      </c>
      <c r="AS40" s="484">
        <f ca="1">IFERROR(VLOOKUP(AS4+1,INDIRECT('Lookup Tables'!$K$4),6,FALSE),0)</f>
        <v>0</v>
      </c>
      <c r="AT40" s="484">
        <f ca="1">IFERROR(VLOOKUP(AT4+1,INDIRECT('Lookup Tables'!$K$4),6,FALSE),0)</f>
        <v>0</v>
      </c>
      <c r="AU40" s="484">
        <f ca="1">IFERROR(VLOOKUP(AU4+1,INDIRECT('Lookup Tables'!$K$4),6,FALSE),0)</f>
        <v>0</v>
      </c>
      <c r="AV40" s="484">
        <f ca="1">IFERROR(VLOOKUP(AV4+1,INDIRECT('Lookup Tables'!$K$4),6,FALSE),0)</f>
        <v>0</v>
      </c>
      <c r="AW40" s="484">
        <f ca="1">IFERROR(VLOOKUP(AW4+1,INDIRECT('Lookup Tables'!$K$4),6,FALSE),0)</f>
        <v>0</v>
      </c>
      <c r="AX40" s="484">
        <f ca="1">IFERROR(VLOOKUP(AX4+1,INDIRECT('Lookup Tables'!$K$4),6,FALSE),0)</f>
        <v>0</v>
      </c>
      <c r="AY40" s="484">
        <f ca="1">IFERROR(VLOOKUP(AY4+1,INDIRECT('Lookup Tables'!$K$4),6,FALSE),0)</f>
        <v>0</v>
      </c>
      <c r="AZ40" s="484">
        <f ca="1">IFERROR(VLOOKUP(AZ4+1,INDIRECT('Lookup Tables'!$K$4),6,FALSE),0)</f>
        <v>0</v>
      </c>
      <c r="BA40" s="484">
        <f ca="1">IFERROR(VLOOKUP(BA4+1,INDIRECT('Lookup Tables'!$K$4),6,FALSE),0)</f>
        <v>0</v>
      </c>
      <c r="BB40" s="484">
        <f ca="1">IFERROR(VLOOKUP(BB4+1,INDIRECT('Lookup Tables'!$K$4),6,FALSE),0)</f>
        <v>0</v>
      </c>
      <c r="BC40" s="484">
        <f ca="1">IFERROR(VLOOKUP(BC4+1,INDIRECT('Lookup Tables'!$K$4),6,FALSE),0)</f>
        <v>0</v>
      </c>
      <c r="BD40" s="484">
        <f ca="1">IFERROR(VLOOKUP(BD4+1,INDIRECT('Lookup Tables'!$K$4),6,FALSE),0)</f>
        <v>0</v>
      </c>
      <c r="BE40" s="484">
        <f ca="1">IFERROR(VLOOKUP(BE4+1,INDIRECT('Lookup Tables'!$K$4),6,FALSE),0)</f>
        <v>0</v>
      </c>
      <c r="BF40" s="484">
        <f ca="1">IFERROR(VLOOKUP(BF4+1,INDIRECT('Lookup Tables'!$K$4),6,FALSE),0)</f>
        <v>0</v>
      </c>
      <c r="BG40" s="484">
        <f ca="1">IFERROR(VLOOKUP(BG4+1,INDIRECT('Lookup Tables'!$K$4),6,FALSE),0)</f>
        <v>0</v>
      </c>
      <c r="BH40" s="484">
        <f ca="1">IFERROR(VLOOKUP(BH4+1,INDIRECT('Lookup Tables'!$K$4),6,FALSE),0)</f>
        <v>0</v>
      </c>
      <c r="BI40" s="484">
        <f ca="1">IFERROR(VLOOKUP(BI4+1,INDIRECT('Lookup Tables'!$K$4),6,FALSE),0)</f>
        <v>0</v>
      </c>
      <c r="BJ40" s="484">
        <f ca="1">IFERROR(VLOOKUP(BJ4+1,INDIRECT('Lookup Tables'!$K$4),6,FALSE),0)</f>
        <v>0</v>
      </c>
      <c r="BK40" s="488">
        <f ca="1">IFERROR(VLOOKUP(BK4+1,INDIRECT('Lookup Tables'!$K$4),6,FALSE),0)</f>
        <v>0</v>
      </c>
      <c r="BL40" s="484">
        <f ca="1">IFERROR(VLOOKUP(BL4+1,INDIRECT('Lookup Tables'!$K$4),6,FALSE),0)</f>
        <v>0</v>
      </c>
      <c r="BM40" s="484">
        <f ca="1">IFERROR(VLOOKUP(BM4+1,INDIRECT('Lookup Tables'!$K$4),6,FALSE),0)</f>
        <v>0</v>
      </c>
      <c r="BN40" s="484">
        <f ca="1">IFERROR(VLOOKUP(BN4+1,INDIRECT('Lookup Tables'!$K$4),6,FALSE),0)</f>
        <v>0</v>
      </c>
      <c r="BO40" s="484">
        <f ca="1">IFERROR(VLOOKUP(BO4+1,INDIRECT('Lookup Tables'!$K$4),6,FALSE),0)</f>
        <v>0</v>
      </c>
      <c r="BP40" s="484">
        <f ca="1">IFERROR(VLOOKUP(BP4+1,INDIRECT('Lookup Tables'!$K$4),6,FALSE),0)</f>
        <v>0</v>
      </c>
      <c r="BQ40" s="484">
        <f ca="1">IFERROR(VLOOKUP(BQ4+1,INDIRECT('Lookup Tables'!$K$4),6,FALSE),0)</f>
        <v>0</v>
      </c>
      <c r="BR40" s="484">
        <f ca="1">IFERROR(VLOOKUP(BR4+1,INDIRECT('Lookup Tables'!$K$4),6,FALSE),0)</f>
        <v>0</v>
      </c>
      <c r="BS40" s="484">
        <f ca="1">IFERROR(VLOOKUP(BS4+1,INDIRECT('Lookup Tables'!$K$4),6,FALSE),0)</f>
        <v>0</v>
      </c>
      <c r="BT40" s="484">
        <f ca="1">IFERROR(VLOOKUP(BT4+1,INDIRECT('Lookup Tables'!$K$4),6,FALSE),0)</f>
        <v>0</v>
      </c>
      <c r="BU40" s="484">
        <f ca="1">IFERROR(VLOOKUP(BU4+1,INDIRECT('Lookup Tables'!$K$4),6,FALSE),0)</f>
        <v>0</v>
      </c>
      <c r="BV40" s="484">
        <f ca="1">IFERROR(VLOOKUP(BV4+1,INDIRECT('Lookup Tables'!$K$4),6,FALSE),0)</f>
        <v>0</v>
      </c>
      <c r="BW40" s="484">
        <f ca="1">IFERROR(VLOOKUP(BW4+1,INDIRECT('Lookup Tables'!$K$4),6,FALSE),0)</f>
        <v>0</v>
      </c>
      <c r="BX40" s="484">
        <f ca="1">IFERROR(VLOOKUP(BX4+1,INDIRECT('Lookup Tables'!$K$4),6,FALSE),0)</f>
        <v>0</v>
      </c>
      <c r="BY40" s="484">
        <f ca="1">IFERROR(VLOOKUP(BY4+1,INDIRECT('Lookup Tables'!$K$4),6,FALSE),0)</f>
        <v>0</v>
      </c>
      <c r="BZ40" s="484">
        <f ca="1">IFERROR(VLOOKUP(BZ4+1,INDIRECT('Lookup Tables'!$K$4),6,FALSE),0)</f>
        <v>0</v>
      </c>
      <c r="CA40" s="488">
        <f ca="1">IFERROR(VLOOKUP(CA4+1,INDIRECT('Lookup Tables'!$K$4),6,FALSE),0)</f>
        <v>0</v>
      </c>
      <c r="CB40" s="484">
        <f ca="1">IFERROR(VLOOKUP(CB4+1,INDIRECT('Lookup Tables'!$K$4),6,FALSE),0)</f>
        <v>0</v>
      </c>
      <c r="CC40" s="484">
        <f ca="1">IFERROR(VLOOKUP(CC4+1,INDIRECT('Lookup Tables'!$K$4),6,FALSE),0)</f>
        <v>0</v>
      </c>
      <c r="CD40" s="484">
        <f ca="1">IFERROR(VLOOKUP(CD4+1,INDIRECT('Lookup Tables'!$K$4),6,FALSE),0)</f>
        <v>0</v>
      </c>
      <c r="CE40" s="484">
        <f ca="1">IFERROR(VLOOKUP(CE4+1,INDIRECT('Lookup Tables'!$K$4),6,FALSE),0)</f>
        <v>0</v>
      </c>
      <c r="CF40" s="484">
        <f ca="1">IFERROR(VLOOKUP(CF4+1,INDIRECT('Lookup Tables'!$K$4),6,FALSE),0)</f>
        <v>0</v>
      </c>
      <c r="CG40" s="484">
        <f ca="1">IFERROR(VLOOKUP(CG4+1,INDIRECT('Lookup Tables'!$K$4),6,FALSE),0)</f>
        <v>0</v>
      </c>
      <c r="CH40" s="484">
        <f ca="1">IFERROR(VLOOKUP(CH4+1,INDIRECT('Lookup Tables'!$K$4),6,FALSE),0)</f>
        <v>0</v>
      </c>
      <c r="CI40" s="484">
        <f ca="1">IFERROR(VLOOKUP(CI4+1,INDIRECT('Lookup Tables'!$K$4),6,FALSE),0)</f>
        <v>0</v>
      </c>
      <c r="CJ40" s="484">
        <f ca="1">IFERROR(VLOOKUP(CJ4+1,INDIRECT('Lookup Tables'!$K$4),6,FALSE),0)</f>
        <v>0</v>
      </c>
      <c r="CK40" s="484">
        <f ca="1">IFERROR(VLOOKUP(CK4+1,INDIRECT('Lookup Tables'!$K$4),6,FALSE),0)</f>
        <v>0</v>
      </c>
      <c r="CL40" s="484">
        <f ca="1">IFERROR(VLOOKUP(CL4+1,INDIRECT('Lookup Tables'!$K$4),6,FALSE),0)</f>
        <v>0</v>
      </c>
      <c r="CM40" s="484">
        <f ca="1">IFERROR(VLOOKUP(CM4+1,INDIRECT('Lookup Tables'!$K$4),6,FALSE),0)</f>
        <v>0</v>
      </c>
      <c r="CN40" s="484">
        <f ca="1">IFERROR(VLOOKUP(CN4+1,INDIRECT('Lookup Tables'!$K$4),6,FALSE),0)</f>
        <v>0</v>
      </c>
      <c r="CO40" s="484">
        <f ca="1">IFERROR(VLOOKUP(CO4+1,INDIRECT('Lookup Tables'!$K$4),6,FALSE),0)</f>
        <v>0</v>
      </c>
      <c r="CP40" s="484">
        <f ca="1">IFERROR(VLOOKUP(CP4+1,INDIRECT('Lookup Tables'!$K$4),6,FALSE),0)</f>
        <v>0</v>
      </c>
      <c r="CQ40" s="484">
        <f ca="1">IFERROR(VLOOKUP(CQ4+1,INDIRECT('Lookup Tables'!$K$4),6,FALSE),0)</f>
        <v>0</v>
      </c>
      <c r="CR40" s="484">
        <f ca="1">IFERROR(VLOOKUP(CR4+1,INDIRECT('Lookup Tables'!$K$4),6,FALSE),0)</f>
        <v>0</v>
      </c>
      <c r="CS40" s="484">
        <f ca="1">IFERROR(VLOOKUP(CS4+1,INDIRECT('Lookup Tables'!$K$4),6,FALSE),0)</f>
        <v>0</v>
      </c>
      <c r="CT40" s="484">
        <f ca="1">IFERROR(VLOOKUP(CT4+1,INDIRECT('Lookup Tables'!$K$4),6,FALSE),0)</f>
        <v>0</v>
      </c>
      <c r="CU40" s="484">
        <f ca="1">IFERROR(VLOOKUP(CU4+1,INDIRECT('Lookup Tables'!$K$4),6,FALSE),0)</f>
        <v>0</v>
      </c>
      <c r="CV40" s="484">
        <f ca="1">IFERROR(VLOOKUP(CV4+1,INDIRECT('Lookup Tables'!$K$4),6,FALSE),0)</f>
        <v>0</v>
      </c>
      <c r="CW40" s="484">
        <f ca="1">IFERROR(VLOOKUP(CW4+1,INDIRECT('Lookup Tables'!$K$4),6,FALSE),0)</f>
        <v>0</v>
      </c>
      <c r="CX40" s="484">
        <f ca="1">IFERROR(VLOOKUP(CX4+1,INDIRECT('Lookup Tables'!$K$4),6,FALSE),0)</f>
        <v>0</v>
      </c>
      <c r="CY40" s="507">
        <f ca="1">IFERROR(VLOOKUP(CY4+1,INDIRECT('Lookup Tables'!$K$4),6,FALSE),0)</f>
        <v>0</v>
      </c>
    </row>
    <row r="41" spans="1:103" ht="15" customHeight="1" x14ac:dyDescent="0.35">
      <c r="A41" s="893"/>
      <c r="B41" s="506" t="s">
        <v>456</v>
      </c>
      <c r="C41" s="479" t="e">
        <f ca="1">SUM(D41:CY41)</f>
        <v>#REF!</v>
      </c>
      <c r="D41" s="484" t="e">
        <f ca="1">VLOOKUP(D4,INDIRECT('Lookup Tables'!$K$4),4,FALSE)</f>
        <v>#REF!</v>
      </c>
      <c r="E41" s="484">
        <f ca="1">IFERROR(VLOOKUP(E4+1,INDIRECT('Lookup Tables'!$K$4),4,FALSE),0)</f>
        <v>0</v>
      </c>
      <c r="F41" s="484">
        <f ca="1">IFERROR(VLOOKUP(F4+1,INDIRECT('Lookup Tables'!$K$4),4,FALSE),0)</f>
        <v>0</v>
      </c>
      <c r="G41" s="484">
        <f ca="1">IFERROR(VLOOKUP(G4+1,INDIRECT('Lookup Tables'!$K$4),4,FALSE),0)</f>
        <v>0</v>
      </c>
      <c r="H41" s="484">
        <f ca="1">IFERROR(VLOOKUP(H4+1,INDIRECT('Lookup Tables'!$K$4),4,FALSE),0)</f>
        <v>0</v>
      </c>
      <c r="I41" s="484">
        <f ca="1">IFERROR(VLOOKUP(I4+1,INDIRECT('Lookup Tables'!$K$4),4,FALSE),0)</f>
        <v>0</v>
      </c>
      <c r="J41" s="484">
        <f ca="1">IFERROR(VLOOKUP(J4+1,INDIRECT('Lookup Tables'!$K$4),4,FALSE),0)</f>
        <v>0</v>
      </c>
      <c r="K41" s="484">
        <f ca="1">IFERROR(VLOOKUP(K4+1,INDIRECT('Lookup Tables'!$K$4),4,FALSE),0)</f>
        <v>0</v>
      </c>
      <c r="L41" s="484">
        <f ca="1">IFERROR(VLOOKUP(L4+1,INDIRECT('Lookup Tables'!$K$4),4,FALSE),0)</f>
        <v>0</v>
      </c>
      <c r="M41" s="484">
        <f ca="1">IFERROR(VLOOKUP(M4+1,INDIRECT('Lookup Tables'!$K$4),4,FALSE),0)</f>
        <v>0</v>
      </c>
      <c r="N41" s="484">
        <f ca="1">IFERROR(VLOOKUP(N4+1,INDIRECT('Lookup Tables'!$K$4),4,FALSE),0)</f>
        <v>0</v>
      </c>
      <c r="O41" s="484">
        <f ca="1">IFERROR(VLOOKUP(O4+1,INDIRECT('Lookup Tables'!$K$4),4,FALSE),0)</f>
        <v>0</v>
      </c>
      <c r="P41" s="484">
        <f ca="1">IFERROR(VLOOKUP(P4+1,INDIRECT('Lookup Tables'!$K$4),4,FALSE),0)</f>
        <v>0</v>
      </c>
      <c r="Q41" s="484">
        <f ca="1">IFERROR(VLOOKUP(Q4+1,INDIRECT('Lookup Tables'!$K$4),4,FALSE),0)</f>
        <v>0</v>
      </c>
      <c r="R41" s="484">
        <f ca="1">IFERROR(VLOOKUP(R4+1,INDIRECT('Lookup Tables'!$K$4),4,FALSE),0)</f>
        <v>0</v>
      </c>
      <c r="S41" s="484">
        <f ca="1">IFERROR(VLOOKUP(S4+1,INDIRECT('Lookup Tables'!$K$4),4,FALSE),0)</f>
        <v>0</v>
      </c>
      <c r="T41" s="484">
        <f ca="1">IFERROR(VLOOKUP(T4+1,INDIRECT('Lookup Tables'!$K$4),4,FALSE),0)</f>
        <v>0</v>
      </c>
      <c r="U41" s="484">
        <f ca="1">IFERROR(VLOOKUP(U4+1,INDIRECT('Lookup Tables'!$K$4),4,FALSE),0)</f>
        <v>0</v>
      </c>
      <c r="V41" s="484">
        <f ca="1">IFERROR(VLOOKUP(V4+1,INDIRECT('Lookup Tables'!$K$4),4,FALSE),0)</f>
        <v>0</v>
      </c>
      <c r="W41" s="484">
        <f ca="1">IFERROR(VLOOKUP(W4+1,INDIRECT('Lookup Tables'!$K$4),4,FALSE),0)</f>
        <v>0</v>
      </c>
      <c r="X41" s="484">
        <f ca="1">IFERROR(VLOOKUP(X4+1,INDIRECT('Lookup Tables'!$K$4),4,FALSE),0)</f>
        <v>0</v>
      </c>
      <c r="Y41" s="484">
        <f ca="1">IFERROR(VLOOKUP(Y4+1,INDIRECT('Lookup Tables'!$K$4),4,FALSE),0)</f>
        <v>0</v>
      </c>
      <c r="Z41" s="484">
        <f ca="1">IFERROR(VLOOKUP(Z4+1,INDIRECT('Lookup Tables'!$K$4),4,FALSE),0)</f>
        <v>0</v>
      </c>
      <c r="AA41" s="484">
        <f ca="1">IFERROR(VLOOKUP(AA4+1,INDIRECT('Lookup Tables'!$K$4),4,FALSE),0)</f>
        <v>0</v>
      </c>
      <c r="AB41" s="484">
        <f ca="1">IFERROR(VLOOKUP(AB4+1,INDIRECT('Lookup Tables'!$K$4),4,FALSE),0)</f>
        <v>0</v>
      </c>
      <c r="AC41" s="484">
        <f ca="1">IFERROR(VLOOKUP(AC4+1,INDIRECT('Lookup Tables'!$K$4),4,FALSE),0)</f>
        <v>0</v>
      </c>
      <c r="AD41" s="484">
        <f ca="1">IFERROR(VLOOKUP(AD4+1,INDIRECT('Lookup Tables'!$K$4),4,FALSE),0)</f>
        <v>0</v>
      </c>
      <c r="AE41" s="484">
        <f ca="1">IFERROR(VLOOKUP(AE4+1,INDIRECT('Lookup Tables'!$K$4),4,FALSE),0)</f>
        <v>0</v>
      </c>
      <c r="AF41" s="484">
        <f ca="1">IFERROR(VLOOKUP(AF4+1,INDIRECT('Lookup Tables'!$K$4),4,FALSE),0)</f>
        <v>0</v>
      </c>
      <c r="AG41" s="484">
        <f ca="1">IFERROR(VLOOKUP(AG4+1,INDIRECT('Lookup Tables'!$K$4),4,FALSE),0)</f>
        <v>0</v>
      </c>
      <c r="AH41" s="484">
        <f ca="1">IFERROR(VLOOKUP(AH4+1,INDIRECT('Lookup Tables'!$K$4),4,FALSE),0)</f>
        <v>0</v>
      </c>
      <c r="AI41" s="484">
        <f ca="1">IFERROR(VLOOKUP(AI4+1,INDIRECT('Lookup Tables'!$K$4),4,FALSE),0)</f>
        <v>0</v>
      </c>
      <c r="AJ41" s="484">
        <f ca="1">IFERROR(VLOOKUP(AJ4+1,INDIRECT('Lookup Tables'!$K$4),4,FALSE),0)</f>
        <v>0</v>
      </c>
      <c r="AK41" s="484">
        <f ca="1">IFERROR(VLOOKUP(AK4+1,INDIRECT('Lookup Tables'!$K$4),4,FALSE),0)</f>
        <v>0</v>
      </c>
      <c r="AL41" s="484">
        <f ca="1">IFERROR(VLOOKUP(AL4+1,INDIRECT('Lookup Tables'!$K$4),4,FALSE),0)</f>
        <v>0</v>
      </c>
      <c r="AM41" s="484">
        <f ca="1">IFERROR(VLOOKUP(AM4+1,INDIRECT('Lookup Tables'!$K$4),4,FALSE),0)</f>
        <v>0</v>
      </c>
      <c r="AN41" s="484">
        <f ca="1">IFERROR(VLOOKUP(AN4+1,INDIRECT('Lookup Tables'!$K$4),4,FALSE),0)</f>
        <v>0</v>
      </c>
      <c r="AO41" s="488">
        <f ca="1">IFERROR(VLOOKUP(AO4+1,INDIRECT('Lookup Tables'!$K$4),4,FALSE),0)</f>
        <v>0</v>
      </c>
      <c r="AP41" s="484">
        <f ca="1">IFERROR(VLOOKUP(AP4+1,INDIRECT('Lookup Tables'!$K$4),4,FALSE),0)</f>
        <v>0</v>
      </c>
      <c r="AQ41" s="484">
        <f ca="1">IFERROR(VLOOKUP(AQ4+1,INDIRECT('Lookup Tables'!$K$4),4,FALSE),0)</f>
        <v>0</v>
      </c>
      <c r="AR41" s="484">
        <f ca="1">IFERROR(VLOOKUP(AR4+1,INDIRECT('Lookup Tables'!$K$4),4,FALSE),0)</f>
        <v>0</v>
      </c>
      <c r="AS41" s="484">
        <f ca="1">IFERROR(VLOOKUP(AS4+1,INDIRECT('Lookup Tables'!$K$4),4,FALSE),0)</f>
        <v>0</v>
      </c>
      <c r="AT41" s="484">
        <f ca="1">IFERROR(VLOOKUP(AT4+1,INDIRECT('Lookup Tables'!$K$4),4,FALSE),0)</f>
        <v>0</v>
      </c>
      <c r="AU41" s="484">
        <f ca="1">IFERROR(VLOOKUP(AU4+1,INDIRECT('Lookup Tables'!$K$4),4,FALSE),0)</f>
        <v>0</v>
      </c>
      <c r="AV41" s="484">
        <f ca="1">IFERROR(VLOOKUP(AV4+1,INDIRECT('Lookup Tables'!$K$4),4,FALSE),0)</f>
        <v>0</v>
      </c>
      <c r="AW41" s="484">
        <f ca="1">IFERROR(VLOOKUP(AW4+1,INDIRECT('Lookup Tables'!$K$4),4,FALSE),0)</f>
        <v>0</v>
      </c>
      <c r="AX41" s="484">
        <f ca="1">IFERROR(VLOOKUP(AX4+1,INDIRECT('Lookup Tables'!$K$4),4,FALSE),0)</f>
        <v>0</v>
      </c>
      <c r="AY41" s="484">
        <f ca="1">IFERROR(VLOOKUP(AY4+1,INDIRECT('Lookup Tables'!$K$4),4,FALSE),0)</f>
        <v>0</v>
      </c>
      <c r="AZ41" s="484">
        <f ca="1">IFERROR(VLOOKUP(AZ4+1,INDIRECT('Lookup Tables'!$K$4),4,FALSE),0)</f>
        <v>0</v>
      </c>
      <c r="BA41" s="484">
        <f ca="1">IFERROR(VLOOKUP(BA4+1,INDIRECT('Lookup Tables'!$K$4),4,FALSE),0)</f>
        <v>0</v>
      </c>
      <c r="BB41" s="484">
        <f ca="1">IFERROR(VLOOKUP(BB4+1,INDIRECT('Lookup Tables'!$K$4),4,FALSE),0)</f>
        <v>0</v>
      </c>
      <c r="BC41" s="484">
        <f ca="1">IFERROR(VLOOKUP(BC4+1,INDIRECT('Lookup Tables'!$K$4),4,FALSE),0)</f>
        <v>0</v>
      </c>
      <c r="BD41" s="484">
        <f ca="1">IFERROR(VLOOKUP(BD4+1,INDIRECT('Lookup Tables'!$K$4),4,FALSE),0)</f>
        <v>0</v>
      </c>
      <c r="BE41" s="484">
        <f ca="1">IFERROR(VLOOKUP(BE4+1,INDIRECT('Lookup Tables'!$K$4),4,FALSE),0)</f>
        <v>0</v>
      </c>
      <c r="BF41" s="484">
        <f ca="1">IFERROR(VLOOKUP(BF4+1,INDIRECT('Lookup Tables'!$K$4),4,FALSE),0)</f>
        <v>0</v>
      </c>
      <c r="BG41" s="484">
        <f ca="1">IFERROR(VLOOKUP(BG4+1,INDIRECT('Lookup Tables'!$K$4),4,FALSE),0)</f>
        <v>0</v>
      </c>
      <c r="BH41" s="484">
        <f ca="1">IFERROR(VLOOKUP(BH4+1,INDIRECT('Lookup Tables'!$K$4),4,FALSE),0)</f>
        <v>0</v>
      </c>
      <c r="BI41" s="484">
        <f ca="1">IFERROR(VLOOKUP(BI4+1,INDIRECT('Lookup Tables'!$K$4),4,FALSE),0)</f>
        <v>0</v>
      </c>
      <c r="BJ41" s="484">
        <f ca="1">IFERROR(VLOOKUP(BJ4+1,INDIRECT('Lookup Tables'!$K$4),4,FALSE),0)</f>
        <v>0</v>
      </c>
      <c r="BK41" s="488">
        <f ca="1">IFERROR(VLOOKUP(BK4+1,INDIRECT('Lookup Tables'!$K$4),4,FALSE),0)</f>
        <v>0</v>
      </c>
      <c r="BL41" s="484">
        <f ca="1">IFERROR(VLOOKUP(BL4+1,INDIRECT('Lookup Tables'!$K$4),4,FALSE),0)</f>
        <v>0</v>
      </c>
      <c r="BM41" s="484">
        <f ca="1">IFERROR(VLOOKUP(BM4+1,INDIRECT('Lookup Tables'!$K$4),4,FALSE),0)</f>
        <v>0</v>
      </c>
      <c r="BN41" s="484">
        <f ca="1">IFERROR(VLOOKUP(BN4+1,INDIRECT('Lookup Tables'!$K$4),4,FALSE),0)</f>
        <v>0</v>
      </c>
      <c r="BO41" s="484">
        <f ca="1">IFERROR(VLOOKUP(BO4+1,INDIRECT('Lookup Tables'!$K$4),4,FALSE),0)</f>
        <v>0</v>
      </c>
      <c r="BP41" s="484">
        <f ca="1">IFERROR(VLOOKUP(BP4+1,INDIRECT('Lookup Tables'!$K$4),4,FALSE),0)</f>
        <v>0</v>
      </c>
      <c r="BQ41" s="484">
        <f ca="1">IFERROR(VLOOKUP(BQ4+1,INDIRECT('Lookup Tables'!$K$4),4,FALSE),0)</f>
        <v>0</v>
      </c>
      <c r="BR41" s="484">
        <f ca="1">IFERROR(VLOOKUP(BR4+1,INDIRECT('Lookup Tables'!$K$4),4,FALSE),0)</f>
        <v>0</v>
      </c>
      <c r="BS41" s="484">
        <f ca="1">IFERROR(VLOOKUP(BS4+1,INDIRECT('Lookup Tables'!$K$4),4,FALSE),0)</f>
        <v>0</v>
      </c>
      <c r="BT41" s="484">
        <f ca="1">IFERROR(VLOOKUP(BT4+1,INDIRECT('Lookup Tables'!$K$4),4,FALSE),0)</f>
        <v>0</v>
      </c>
      <c r="BU41" s="484">
        <f ca="1">IFERROR(VLOOKUP(BU4+1,INDIRECT('Lookup Tables'!$K$4),4,FALSE),0)</f>
        <v>0</v>
      </c>
      <c r="BV41" s="484">
        <f ca="1">IFERROR(VLOOKUP(BV4+1,INDIRECT('Lookup Tables'!$K$4),4,FALSE),0)</f>
        <v>0</v>
      </c>
      <c r="BW41" s="484">
        <f ca="1">IFERROR(VLOOKUP(BW4+1,INDIRECT('Lookup Tables'!$K$4),4,FALSE),0)</f>
        <v>0</v>
      </c>
      <c r="BX41" s="484">
        <f ca="1">IFERROR(VLOOKUP(BX4+1,INDIRECT('Lookup Tables'!$K$4),4,FALSE),0)</f>
        <v>0</v>
      </c>
      <c r="BY41" s="484">
        <f ca="1">IFERROR(VLOOKUP(BY4+1,INDIRECT('Lookup Tables'!$K$4),4,FALSE),0)</f>
        <v>0</v>
      </c>
      <c r="BZ41" s="484">
        <f ca="1">IFERROR(VLOOKUP(BZ4+1,INDIRECT('Lookup Tables'!$K$4),4,FALSE),0)</f>
        <v>0</v>
      </c>
      <c r="CA41" s="488">
        <f ca="1">IFERROR(VLOOKUP(CA4+1,INDIRECT('Lookup Tables'!$K$4),4,FALSE),0)</f>
        <v>0</v>
      </c>
      <c r="CB41" s="484">
        <f ca="1">IFERROR(VLOOKUP(CB4+1,INDIRECT('Lookup Tables'!$K$4),4,FALSE),0)</f>
        <v>0</v>
      </c>
      <c r="CC41" s="484">
        <f ca="1">IFERROR(VLOOKUP(CC4+1,INDIRECT('Lookup Tables'!$K$4),4,FALSE),0)</f>
        <v>0</v>
      </c>
      <c r="CD41" s="484">
        <f ca="1">IFERROR(VLOOKUP(CD4+1,INDIRECT('Lookup Tables'!$K$4),4,FALSE),0)</f>
        <v>0</v>
      </c>
      <c r="CE41" s="484">
        <f ca="1">IFERROR(VLOOKUP(CE4+1,INDIRECT('Lookup Tables'!$K$4),4,FALSE),0)</f>
        <v>0</v>
      </c>
      <c r="CF41" s="484">
        <f ca="1">IFERROR(VLOOKUP(CF4+1,INDIRECT('Lookup Tables'!$K$4),4,FALSE),0)</f>
        <v>0</v>
      </c>
      <c r="CG41" s="484">
        <f ca="1">IFERROR(VLOOKUP(CG4+1,INDIRECT('Lookup Tables'!$K$4),4,FALSE),0)</f>
        <v>0</v>
      </c>
      <c r="CH41" s="484">
        <f ca="1">IFERROR(VLOOKUP(CH4+1,INDIRECT('Lookup Tables'!$K$4),4,FALSE),0)</f>
        <v>0</v>
      </c>
      <c r="CI41" s="484">
        <f ca="1">IFERROR(VLOOKUP(CI4+1,INDIRECT('Lookup Tables'!$K$4),4,FALSE),0)</f>
        <v>0</v>
      </c>
      <c r="CJ41" s="484">
        <f ca="1">IFERROR(VLOOKUP(CJ4+1,INDIRECT('Lookup Tables'!$K$4),4,FALSE),0)</f>
        <v>0</v>
      </c>
      <c r="CK41" s="484">
        <f ca="1">IFERROR(VLOOKUP(CK4+1,INDIRECT('Lookup Tables'!$K$4),4,FALSE),0)</f>
        <v>0</v>
      </c>
      <c r="CL41" s="484">
        <f ca="1">IFERROR(VLOOKUP(CL4+1,INDIRECT('Lookup Tables'!$K$4),4,FALSE),0)</f>
        <v>0</v>
      </c>
      <c r="CM41" s="484">
        <f ca="1">IFERROR(VLOOKUP(CM4+1,INDIRECT('Lookup Tables'!$K$4),4,FALSE),0)</f>
        <v>0</v>
      </c>
      <c r="CN41" s="484">
        <f ca="1">IFERROR(VLOOKUP(CN4+1,INDIRECT('Lookup Tables'!$K$4),4,FALSE),0)</f>
        <v>0</v>
      </c>
      <c r="CO41" s="484">
        <f ca="1">IFERROR(VLOOKUP(CO4+1,INDIRECT('Lookup Tables'!$K$4),4,FALSE),0)</f>
        <v>0</v>
      </c>
      <c r="CP41" s="484">
        <f ca="1">IFERROR(VLOOKUP(CP4+1,INDIRECT('Lookup Tables'!$K$4),4,FALSE),0)</f>
        <v>0</v>
      </c>
      <c r="CQ41" s="484">
        <f ca="1">IFERROR(VLOOKUP(CQ4+1,INDIRECT('Lookup Tables'!$K$4),4,FALSE),0)</f>
        <v>0</v>
      </c>
      <c r="CR41" s="484">
        <f ca="1">IFERROR(VLOOKUP(CR4+1,INDIRECT('Lookup Tables'!$K$4),4,FALSE),0)</f>
        <v>0</v>
      </c>
      <c r="CS41" s="484">
        <f ca="1">IFERROR(VLOOKUP(CS4+1,INDIRECT('Lookup Tables'!$K$4),4,FALSE),0)</f>
        <v>0</v>
      </c>
      <c r="CT41" s="484">
        <f ca="1">IFERROR(VLOOKUP(CT4+1,INDIRECT('Lookup Tables'!$K$4),4,FALSE),0)</f>
        <v>0</v>
      </c>
      <c r="CU41" s="484">
        <f ca="1">IFERROR(VLOOKUP(CU4+1,INDIRECT('Lookup Tables'!$K$4),4,FALSE),0)</f>
        <v>0</v>
      </c>
      <c r="CV41" s="484">
        <f ca="1">IFERROR(VLOOKUP(CV4+1,INDIRECT('Lookup Tables'!$K$4),4,FALSE),0)</f>
        <v>0</v>
      </c>
      <c r="CW41" s="484">
        <f ca="1">IFERROR(VLOOKUP(CW4+1,INDIRECT('Lookup Tables'!$K$4),4,FALSE),0)</f>
        <v>0</v>
      </c>
      <c r="CX41" s="484">
        <f ca="1">IFERROR(VLOOKUP(CX4+1,INDIRECT('Lookup Tables'!$K$4),4,FALSE),0)</f>
        <v>0</v>
      </c>
      <c r="CY41" s="507">
        <f ca="1">IFERROR(VLOOKUP(CY4+1,INDIRECT('Lookup Tables'!$K$4),4,FALSE),0)</f>
        <v>0</v>
      </c>
    </row>
    <row r="42" spans="1:103" ht="15" customHeight="1" thickBot="1" x14ac:dyDescent="0.4">
      <c r="A42" s="899" t="s">
        <v>2</v>
      </c>
      <c r="B42" s="508"/>
      <c r="C42" s="509" t="e">
        <f ca="1">SUM(C38:C41)</f>
        <v>#REF!</v>
      </c>
      <c r="D42" s="510" t="e">
        <f ca="1">SUM(D38:D41)</f>
        <v>#REF!</v>
      </c>
      <c r="E42" s="510">
        <f t="shared" ref="E42:AH42" ca="1" si="8">SUM(E38:E41)</f>
        <v>0</v>
      </c>
      <c r="F42" s="510">
        <f t="shared" ca="1" si="8"/>
        <v>0</v>
      </c>
      <c r="G42" s="510">
        <f t="shared" ca="1" si="8"/>
        <v>0</v>
      </c>
      <c r="H42" s="510">
        <f ca="1">SUM(H38:H41)</f>
        <v>0</v>
      </c>
      <c r="I42" s="510">
        <f t="shared" ca="1" si="8"/>
        <v>0</v>
      </c>
      <c r="J42" s="510">
        <f t="shared" ca="1" si="8"/>
        <v>0</v>
      </c>
      <c r="K42" s="510">
        <f t="shared" ca="1" si="8"/>
        <v>0</v>
      </c>
      <c r="L42" s="510">
        <f t="shared" ca="1" si="8"/>
        <v>0</v>
      </c>
      <c r="M42" s="510">
        <f t="shared" ca="1" si="8"/>
        <v>0</v>
      </c>
      <c r="N42" s="510">
        <f t="shared" ca="1" si="8"/>
        <v>0</v>
      </c>
      <c r="O42" s="510">
        <f t="shared" ca="1" si="8"/>
        <v>0</v>
      </c>
      <c r="P42" s="510">
        <f t="shared" ca="1" si="8"/>
        <v>0</v>
      </c>
      <c r="Q42" s="510">
        <f t="shared" ca="1" si="8"/>
        <v>0</v>
      </c>
      <c r="R42" s="510">
        <f ca="1">SUM(R38:R41)</f>
        <v>0</v>
      </c>
      <c r="S42" s="510">
        <f t="shared" ca="1" si="8"/>
        <v>0</v>
      </c>
      <c r="T42" s="510">
        <f t="shared" ca="1" si="8"/>
        <v>0</v>
      </c>
      <c r="U42" s="510">
        <f t="shared" ca="1" si="8"/>
        <v>0</v>
      </c>
      <c r="V42" s="510">
        <f t="shared" ca="1" si="8"/>
        <v>0</v>
      </c>
      <c r="W42" s="510">
        <f t="shared" ca="1" si="8"/>
        <v>0</v>
      </c>
      <c r="X42" s="510">
        <f t="shared" ca="1" si="8"/>
        <v>0</v>
      </c>
      <c r="Y42" s="510">
        <f t="shared" ca="1" si="8"/>
        <v>0</v>
      </c>
      <c r="Z42" s="510">
        <f t="shared" ca="1" si="8"/>
        <v>0</v>
      </c>
      <c r="AA42" s="510">
        <f t="shared" ca="1" si="8"/>
        <v>0</v>
      </c>
      <c r="AB42" s="510">
        <f ca="1">SUM(AB38:AB41)</f>
        <v>0</v>
      </c>
      <c r="AC42" s="510">
        <f t="shared" ca="1" si="8"/>
        <v>0</v>
      </c>
      <c r="AD42" s="510">
        <f t="shared" ca="1" si="8"/>
        <v>0</v>
      </c>
      <c r="AE42" s="510">
        <f t="shared" ca="1" si="8"/>
        <v>0</v>
      </c>
      <c r="AF42" s="510">
        <f t="shared" ca="1" si="8"/>
        <v>0</v>
      </c>
      <c r="AG42" s="510">
        <f t="shared" ca="1" si="8"/>
        <v>0</v>
      </c>
      <c r="AH42" s="510">
        <f t="shared" ca="1" si="8"/>
        <v>0</v>
      </c>
      <c r="AI42" s="510">
        <f t="shared" ref="AI42:BN42" ca="1" si="9">SUM(AI38:AI41)</f>
        <v>0</v>
      </c>
      <c r="AJ42" s="510">
        <f t="shared" ca="1" si="9"/>
        <v>0</v>
      </c>
      <c r="AK42" s="510">
        <f t="shared" ca="1" si="9"/>
        <v>0</v>
      </c>
      <c r="AL42" s="510">
        <f ca="1">SUM(AL38:AL41)</f>
        <v>0</v>
      </c>
      <c r="AM42" s="510">
        <f t="shared" ca="1" si="9"/>
        <v>0</v>
      </c>
      <c r="AN42" s="510">
        <f t="shared" ca="1" si="9"/>
        <v>0</v>
      </c>
      <c r="AO42" s="511">
        <f t="shared" ca="1" si="9"/>
        <v>0</v>
      </c>
      <c r="AP42" s="510">
        <f t="shared" ca="1" si="9"/>
        <v>0</v>
      </c>
      <c r="AQ42" s="510">
        <f ca="1">SUM(AQ38:AQ41)</f>
        <v>0</v>
      </c>
      <c r="AR42" s="510">
        <f t="shared" ca="1" si="9"/>
        <v>0</v>
      </c>
      <c r="AS42" s="510">
        <f t="shared" ca="1" si="9"/>
        <v>0</v>
      </c>
      <c r="AT42" s="510">
        <f t="shared" ca="1" si="9"/>
        <v>0</v>
      </c>
      <c r="AU42" s="510">
        <f t="shared" ca="1" si="9"/>
        <v>0</v>
      </c>
      <c r="AV42" s="510">
        <f ca="1">SUM(AV38:AV41)</f>
        <v>0</v>
      </c>
      <c r="AW42" s="510">
        <f t="shared" ca="1" si="9"/>
        <v>0</v>
      </c>
      <c r="AX42" s="510">
        <f t="shared" ca="1" si="9"/>
        <v>0</v>
      </c>
      <c r="AY42" s="510">
        <f t="shared" ca="1" si="9"/>
        <v>0</v>
      </c>
      <c r="AZ42" s="510">
        <f t="shared" ca="1" si="9"/>
        <v>0</v>
      </c>
      <c r="BA42" s="510">
        <f ca="1">SUM(BA38:BA41)</f>
        <v>0</v>
      </c>
      <c r="BB42" s="510">
        <f t="shared" ca="1" si="9"/>
        <v>0</v>
      </c>
      <c r="BC42" s="510">
        <f t="shared" ca="1" si="9"/>
        <v>0</v>
      </c>
      <c r="BD42" s="510">
        <f t="shared" ca="1" si="9"/>
        <v>0</v>
      </c>
      <c r="BE42" s="510">
        <f t="shared" ca="1" si="9"/>
        <v>0</v>
      </c>
      <c r="BF42" s="510">
        <f t="shared" ca="1" si="9"/>
        <v>0</v>
      </c>
      <c r="BG42" s="510">
        <f t="shared" ca="1" si="9"/>
        <v>0</v>
      </c>
      <c r="BH42" s="510">
        <f t="shared" ca="1" si="9"/>
        <v>0</v>
      </c>
      <c r="BI42" s="510">
        <f t="shared" ca="1" si="9"/>
        <v>0</v>
      </c>
      <c r="BJ42" s="510">
        <f t="shared" ca="1" si="9"/>
        <v>0</v>
      </c>
      <c r="BK42" s="511">
        <f t="shared" ca="1" si="9"/>
        <v>0</v>
      </c>
      <c r="BL42" s="510">
        <f t="shared" ca="1" si="9"/>
        <v>0</v>
      </c>
      <c r="BM42" s="510">
        <f t="shared" ca="1" si="9"/>
        <v>0</v>
      </c>
      <c r="BN42" s="510">
        <f t="shared" ca="1" si="9"/>
        <v>0</v>
      </c>
      <c r="BO42" s="510">
        <f t="shared" ref="BO42:CT42" ca="1" si="10">SUM(BO38:BO41)</f>
        <v>0</v>
      </c>
      <c r="BP42" s="510">
        <f t="shared" ca="1" si="10"/>
        <v>0</v>
      </c>
      <c r="BQ42" s="510">
        <f t="shared" ca="1" si="10"/>
        <v>0</v>
      </c>
      <c r="BR42" s="510">
        <f t="shared" ca="1" si="10"/>
        <v>0</v>
      </c>
      <c r="BS42" s="510">
        <f t="shared" ca="1" si="10"/>
        <v>0</v>
      </c>
      <c r="BT42" s="510">
        <f t="shared" ca="1" si="10"/>
        <v>0</v>
      </c>
      <c r="BU42" s="510">
        <f t="shared" ca="1" si="10"/>
        <v>0</v>
      </c>
      <c r="BV42" s="510">
        <f t="shared" ca="1" si="10"/>
        <v>0</v>
      </c>
      <c r="BW42" s="510">
        <f t="shared" ca="1" si="10"/>
        <v>0</v>
      </c>
      <c r="BX42" s="510">
        <f t="shared" ca="1" si="10"/>
        <v>0</v>
      </c>
      <c r="BY42" s="510">
        <f t="shared" ca="1" si="10"/>
        <v>0</v>
      </c>
      <c r="BZ42" s="510">
        <f t="shared" ca="1" si="10"/>
        <v>0</v>
      </c>
      <c r="CA42" s="511">
        <f t="shared" ca="1" si="10"/>
        <v>0</v>
      </c>
      <c r="CB42" s="510">
        <f t="shared" ca="1" si="10"/>
        <v>0</v>
      </c>
      <c r="CC42" s="510">
        <f t="shared" ca="1" si="10"/>
        <v>0</v>
      </c>
      <c r="CD42" s="510">
        <f t="shared" ca="1" si="10"/>
        <v>0</v>
      </c>
      <c r="CE42" s="510">
        <f t="shared" ca="1" si="10"/>
        <v>0</v>
      </c>
      <c r="CF42" s="510">
        <f t="shared" ca="1" si="10"/>
        <v>0</v>
      </c>
      <c r="CG42" s="510">
        <f t="shared" ca="1" si="10"/>
        <v>0</v>
      </c>
      <c r="CH42" s="510">
        <f t="shared" ca="1" si="10"/>
        <v>0</v>
      </c>
      <c r="CI42" s="510">
        <f t="shared" ca="1" si="10"/>
        <v>0</v>
      </c>
      <c r="CJ42" s="510">
        <f t="shared" ca="1" si="10"/>
        <v>0</v>
      </c>
      <c r="CK42" s="510">
        <f t="shared" ca="1" si="10"/>
        <v>0</v>
      </c>
      <c r="CL42" s="510">
        <f t="shared" ca="1" si="10"/>
        <v>0</v>
      </c>
      <c r="CM42" s="510">
        <f t="shared" ca="1" si="10"/>
        <v>0</v>
      </c>
      <c r="CN42" s="510">
        <f t="shared" ca="1" si="10"/>
        <v>0</v>
      </c>
      <c r="CO42" s="510">
        <f t="shared" ca="1" si="10"/>
        <v>0</v>
      </c>
      <c r="CP42" s="510">
        <f t="shared" ca="1" si="10"/>
        <v>0</v>
      </c>
      <c r="CQ42" s="510">
        <f t="shared" ca="1" si="10"/>
        <v>0</v>
      </c>
      <c r="CR42" s="510">
        <f t="shared" ca="1" si="10"/>
        <v>0</v>
      </c>
      <c r="CS42" s="510">
        <f t="shared" ca="1" si="10"/>
        <v>0</v>
      </c>
      <c r="CT42" s="510">
        <f t="shared" ca="1" si="10"/>
        <v>0</v>
      </c>
      <c r="CU42" s="510">
        <f ca="1">SUM(CU38:CU41)</f>
        <v>0</v>
      </c>
      <c r="CV42" s="510">
        <f ca="1">SUM(CV38:CV41)</f>
        <v>0</v>
      </c>
      <c r="CW42" s="510">
        <f ca="1">SUM(CW38:CW41)</f>
        <v>0</v>
      </c>
      <c r="CX42" s="510">
        <f ca="1">SUM(CX38:CX41)</f>
        <v>0</v>
      </c>
      <c r="CY42" s="512">
        <f ca="1">SUM(CY38:CY41)</f>
        <v>0</v>
      </c>
    </row>
    <row r="43" spans="1:103" s="15" customFormat="1" ht="15" customHeight="1" thickTop="1" x14ac:dyDescent="0.35">
      <c r="A43" s="472" t="s">
        <v>434</v>
      </c>
      <c r="B43" s="513"/>
      <c r="C43" s="514" t="e">
        <f t="shared" ref="C43:AH43" ca="1" si="11">C37+C42+C32</f>
        <v>#REF!</v>
      </c>
      <c r="D43" s="515" t="e">
        <f t="shared" ca="1" si="11"/>
        <v>#REF!</v>
      </c>
      <c r="E43" s="515">
        <f t="shared" ca="1" si="11"/>
        <v>0</v>
      </c>
      <c r="F43" s="515">
        <f t="shared" ca="1" si="11"/>
        <v>0</v>
      </c>
      <c r="G43" s="515">
        <f t="shared" ca="1" si="11"/>
        <v>0</v>
      </c>
      <c r="H43" s="515">
        <f t="shared" ca="1" si="11"/>
        <v>0</v>
      </c>
      <c r="I43" s="515">
        <f t="shared" ca="1" si="11"/>
        <v>0</v>
      </c>
      <c r="J43" s="515">
        <f t="shared" ca="1" si="11"/>
        <v>0</v>
      </c>
      <c r="K43" s="515">
        <f t="shared" ca="1" si="11"/>
        <v>0</v>
      </c>
      <c r="L43" s="515">
        <f t="shared" ca="1" si="11"/>
        <v>0</v>
      </c>
      <c r="M43" s="515">
        <f t="shared" ca="1" si="11"/>
        <v>0</v>
      </c>
      <c r="N43" s="515">
        <f t="shared" ca="1" si="11"/>
        <v>0</v>
      </c>
      <c r="O43" s="515">
        <f t="shared" ca="1" si="11"/>
        <v>0</v>
      </c>
      <c r="P43" s="515">
        <f t="shared" ca="1" si="11"/>
        <v>0</v>
      </c>
      <c r="Q43" s="515">
        <f t="shared" ca="1" si="11"/>
        <v>0</v>
      </c>
      <c r="R43" s="515">
        <f t="shared" ca="1" si="11"/>
        <v>0</v>
      </c>
      <c r="S43" s="515">
        <f t="shared" ca="1" si="11"/>
        <v>0</v>
      </c>
      <c r="T43" s="515">
        <f t="shared" ca="1" si="11"/>
        <v>0</v>
      </c>
      <c r="U43" s="515">
        <f t="shared" ca="1" si="11"/>
        <v>0</v>
      </c>
      <c r="V43" s="515">
        <f t="shared" ca="1" si="11"/>
        <v>0</v>
      </c>
      <c r="W43" s="515">
        <f t="shared" ca="1" si="11"/>
        <v>0</v>
      </c>
      <c r="X43" s="515">
        <f t="shared" ca="1" si="11"/>
        <v>0</v>
      </c>
      <c r="Y43" s="515">
        <f t="shared" ca="1" si="11"/>
        <v>0</v>
      </c>
      <c r="Z43" s="515">
        <f t="shared" ca="1" si="11"/>
        <v>0</v>
      </c>
      <c r="AA43" s="515">
        <f t="shared" ca="1" si="11"/>
        <v>0</v>
      </c>
      <c r="AB43" s="515">
        <f t="shared" ca="1" si="11"/>
        <v>0</v>
      </c>
      <c r="AC43" s="515">
        <f t="shared" ca="1" si="11"/>
        <v>0</v>
      </c>
      <c r="AD43" s="515">
        <f t="shared" ca="1" si="11"/>
        <v>0</v>
      </c>
      <c r="AE43" s="515">
        <f t="shared" ca="1" si="11"/>
        <v>0</v>
      </c>
      <c r="AF43" s="515">
        <f t="shared" ca="1" si="11"/>
        <v>0</v>
      </c>
      <c r="AG43" s="515">
        <f t="shared" ca="1" si="11"/>
        <v>0</v>
      </c>
      <c r="AH43" s="515">
        <f t="shared" ca="1" si="11"/>
        <v>0</v>
      </c>
      <c r="AI43" s="515">
        <f t="shared" ref="AI43:BN43" ca="1" si="12">AI37+AI42+AI32</f>
        <v>0</v>
      </c>
      <c r="AJ43" s="515">
        <f t="shared" ca="1" si="12"/>
        <v>0</v>
      </c>
      <c r="AK43" s="515">
        <f t="shared" ca="1" si="12"/>
        <v>0</v>
      </c>
      <c r="AL43" s="515">
        <f t="shared" ca="1" si="12"/>
        <v>0</v>
      </c>
      <c r="AM43" s="515">
        <f t="shared" ca="1" si="12"/>
        <v>0</v>
      </c>
      <c r="AN43" s="515">
        <f t="shared" ca="1" si="12"/>
        <v>0</v>
      </c>
      <c r="AO43" s="516">
        <f t="shared" ca="1" si="12"/>
        <v>0</v>
      </c>
      <c r="AP43" s="515">
        <f t="shared" ca="1" si="12"/>
        <v>0</v>
      </c>
      <c r="AQ43" s="515">
        <f t="shared" ca="1" si="12"/>
        <v>0</v>
      </c>
      <c r="AR43" s="515">
        <f t="shared" ca="1" si="12"/>
        <v>0</v>
      </c>
      <c r="AS43" s="515">
        <f t="shared" ca="1" si="12"/>
        <v>0</v>
      </c>
      <c r="AT43" s="515">
        <f t="shared" ca="1" si="12"/>
        <v>0</v>
      </c>
      <c r="AU43" s="515">
        <f t="shared" ca="1" si="12"/>
        <v>0</v>
      </c>
      <c r="AV43" s="515">
        <f t="shared" ca="1" si="12"/>
        <v>0</v>
      </c>
      <c r="AW43" s="515">
        <f t="shared" ca="1" si="12"/>
        <v>0</v>
      </c>
      <c r="AX43" s="515">
        <f t="shared" ca="1" si="12"/>
        <v>0</v>
      </c>
      <c r="AY43" s="515">
        <f t="shared" ca="1" si="12"/>
        <v>0</v>
      </c>
      <c r="AZ43" s="515">
        <f t="shared" ca="1" si="12"/>
        <v>0</v>
      </c>
      <c r="BA43" s="515">
        <f t="shared" ca="1" si="12"/>
        <v>0</v>
      </c>
      <c r="BB43" s="515">
        <f t="shared" ca="1" si="12"/>
        <v>0</v>
      </c>
      <c r="BC43" s="515">
        <f t="shared" ca="1" si="12"/>
        <v>0</v>
      </c>
      <c r="BD43" s="515">
        <f t="shared" ca="1" si="12"/>
        <v>0</v>
      </c>
      <c r="BE43" s="515">
        <f t="shared" ca="1" si="12"/>
        <v>0</v>
      </c>
      <c r="BF43" s="515">
        <f t="shared" ca="1" si="12"/>
        <v>0</v>
      </c>
      <c r="BG43" s="515">
        <f t="shared" ca="1" si="12"/>
        <v>0</v>
      </c>
      <c r="BH43" s="515">
        <f t="shared" ca="1" si="12"/>
        <v>0</v>
      </c>
      <c r="BI43" s="515">
        <f t="shared" ca="1" si="12"/>
        <v>0</v>
      </c>
      <c r="BJ43" s="515">
        <f t="shared" ca="1" si="12"/>
        <v>0</v>
      </c>
      <c r="BK43" s="516">
        <f t="shared" ca="1" si="12"/>
        <v>0</v>
      </c>
      <c r="BL43" s="515">
        <f t="shared" ca="1" si="12"/>
        <v>0</v>
      </c>
      <c r="BM43" s="515">
        <f t="shared" ca="1" si="12"/>
        <v>0</v>
      </c>
      <c r="BN43" s="515">
        <f t="shared" ca="1" si="12"/>
        <v>0</v>
      </c>
      <c r="BO43" s="515">
        <f t="shared" ref="BO43:CT43" ca="1" si="13">BO37+BO42+BO32</f>
        <v>0</v>
      </c>
      <c r="BP43" s="515">
        <f t="shared" ca="1" si="13"/>
        <v>0</v>
      </c>
      <c r="BQ43" s="515">
        <f t="shared" ca="1" si="13"/>
        <v>0</v>
      </c>
      <c r="BR43" s="515">
        <f t="shared" ca="1" si="13"/>
        <v>0</v>
      </c>
      <c r="BS43" s="515">
        <f t="shared" ca="1" si="13"/>
        <v>0</v>
      </c>
      <c r="BT43" s="515">
        <f t="shared" ca="1" si="13"/>
        <v>0</v>
      </c>
      <c r="BU43" s="515">
        <f t="shared" ca="1" si="13"/>
        <v>0</v>
      </c>
      <c r="BV43" s="515">
        <f t="shared" ca="1" si="13"/>
        <v>0</v>
      </c>
      <c r="BW43" s="515">
        <f t="shared" ca="1" si="13"/>
        <v>0</v>
      </c>
      <c r="BX43" s="515">
        <f t="shared" ca="1" si="13"/>
        <v>0</v>
      </c>
      <c r="BY43" s="515">
        <f t="shared" ca="1" si="13"/>
        <v>0</v>
      </c>
      <c r="BZ43" s="515">
        <f t="shared" ca="1" si="13"/>
        <v>0</v>
      </c>
      <c r="CA43" s="516">
        <f t="shared" ca="1" si="13"/>
        <v>0</v>
      </c>
      <c r="CB43" s="515">
        <f t="shared" ca="1" si="13"/>
        <v>0</v>
      </c>
      <c r="CC43" s="515">
        <f t="shared" ca="1" si="13"/>
        <v>0</v>
      </c>
      <c r="CD43" s="515">
        <f t="shared" ca="1" si="13"/>
        <v>0</v>
      </c>
      <c r="CE43" s="515">
        <f t="shared" ca="1" si="13"/>
        <v>0</v>
      </c>
      <c r="CF43" s="515">
        <f t="shared" ca="1" si="13"/>
        <v>0</v>
      </c>
      <c r="CG43" s="515">
        <f t="shared" ca="1" si="13"/>
        <v>0</v>
      </c>
      <c r="CH43" s="515">
        <f t="shared" ca="1" si="13"/>
        <v>0</v>
      </c>
      <c r="CI43" s="515">
        <f t="shared" ca="1" si="13"/>
        <v>0</v>
      </c>
      <c r="CJ43" s="515">
        <f t="shared" ca="1" si="13"/>
        <v>0</v>
      </c>
      <c r="CK43" s="515">
        <f t="shared" ca="1" si="13"/>
        <v>0</v>
      </c>
      <c r="CL43" s="515">
        <f t="shared" ca="1" si="13"/>
        <v>0</v>
      </c>
      <c r="CM43" s="515">
        <f t="shared" ca="1" si="13"/>
        <v>0</v>
      </c>
      <c r="CN43" s="515">
        <f t="shared" ca="1" si="13"/>
        <v>0</v>
      </c>
      <c r="CO43" s="515">
        <f t="shared" ca="1" si="13"/>
        <v>0</v>
      </c>
      <c r="CP43" s="515">
        <f t="shared" ca="1" si="13"/>
        <v>0</v>
      </c>
      <c r="CQ43" s="515">
        <f t="shared" ca="1" si="13"/>
        <v>0</v>
      </c>
      <c r="CR43" s="515">
        <f t="shared" ca="1" si="13"/>
        <v>0</v>
      </c>
      <c r="CS43" s="515">
        <f t="shared" ca="1" si="13"/>
        <v>0</v>
      </c>
      <c r="CT43" s="515">
        <f t="shared" ca="1" si="13"/>
        <v>0</v>
      </c>
      <c r="CU43" s="515">
        <f ca="1">CU37+CU42+CU32</f>
        <v>0</v>
      </c>
      <c r="CV43" s="515">
        <f ca="1">CV37+CV42+CV32</f>
        <v>0</v>
      </c>
      <c r="CW43" s="515">
        <f ca="1">CW37+CW42+CW32</f>
        <v>0</v>
      </c>
      <c r="CX43" s="515">
        <f ca="1">CX37+CX42+CX32</f>
        <v>0</v>
      </c>
      <c r="CY43" s="517">
        <f ca="1">CY37+CY42+CY32</f>
        <v>0</v>
      </c>
    </row>
    <row r="44" spans="1:103" ht="15" customHeight="1" x14ac:dyDescent="0.35">
      <c r="A44" s="518"/>
      <c r="B44" s="288"/>
      <c r="C44" s="459"/>
      <c r="D44" s="519"/>
      <c r="E44" s="519"/>
      <c r="F44" s="519"/>
      <c r="G44" s="519"/>
      <c r="H44" s="519"/>
      <c r="I44" s="519"/>
      <c r="J44" s="519"/>
      <c r="K44" s="519"/>
      <c r="L44" s="519"/>
      <c r="M44" s="519"/>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20"/>
      <c r="AP44" s="519"/>
      <c r="AQ44" s="519"/>
      <c r="AR44" s="519"/>
      <c r="AS44" s="519"/>
      <c r="AT44" s="519"/>
      <c r="AU44" s="519"/>
      <c r="AV44" s="519"/>
      <c r="AW44" s="519"/>
      <c r="AX44" s="519"/>
      <c r="AY44" s="519"/>
      <c r="AZ44" s="519"/>
      <c r="BA44" s="519"/>
      <c r="BB44" s="519"/>
      <c r="BC44" s="519"/>
      <c r="BD44" s="519"/>
      <c r="BE44" s="519"/>
      <c r="BF44" s="519"/>
      <c r="BG44" s="519"/>
      <c r="BH44" s="519"/>
      <c r="BI44" s="519"/>
      <c r="BJ44" s="519"/>
      <c r="BK44" s="520"/>
      <c r="BL44" s="519"/>
      <c r="BM44" s="519"/>
      <c r="BN44" s="519"/>
      <c r="BO44" s="519"/>
      <c r="BP44" s="519"/>
      <c r="BQ44" s="519"/>
      <c r="BR44" s="519"/>
      <c r="BS44" s="519"/>
      <c r="BT44" s="519"/>
      <c r="BU44" s="519"/>
      <c r="BV44" s="519"/>
      <c r="BW44" s="519"/>
      <c r="BX44" s="519"/>
      <c r="BY44" s="519"/>
      <c r="BZ44" s="519"/>
      <c r="CA44" s="520"/>
      <c r="CB44" s="519"/>
      <c r="CC44" s="519"/>
      <c r="CD44" s="519"/>
      <c r="CE44" s="519"/>
      <c r="CF44" s="519"/>
      <c r="CG44" s="519"/>
      <c r="CH44" s="519"/>
      <c r="CI44" s="519"/>
      <c r="CJ44" s="519"/>
      <c r="CK44" s="519"/>
      <c r="CL44" s="519"/>
      <c r="CM44" s="519"/>
      <c r="CN44" s="519"/>
      <c r="CO44" s="519"/>
      <c r="CP44" s="519"/>
      <c r="CQ44" s="519"/>
      <c r="CR44" s="519"/>
      <c r="CS44" s="519"/>
      <c r="CT44" s="519"/>
      <c r="CU44" s="519"/>
      <c r="CV44" s="519"/>
      <c r="CW44" s="519"/>
      <c r="CX44" s="519"/>
      <c r="CY44" s="521"/>
    </row>
    <row r="45" spans="1:103" ht="15" customHeight="1" x14ac:dyDescent="0.35">
      <c r="A45" s="472" t="s">
        <v>3</v>
      </c>
      <c r="B45" s="473" t="s">
        <v>26</v>
      </c>
      <c r="C45" s="474"/>
      <c r="D45" s="522"/>
      <c r="E45" s="522"/>
      <c r="F45" s="522"/>
      <c r="G45" s="522"/>
      <c r="H45" s="522"/>
      <c r="I45" s="522"/>
      <c r="J45" s="522"/>
      <c r="K45" s="522"/>
      <c r="L45" s="522"/>
      <c r="M45" s="522"/>
      <c r="N45" s="522"/>
      <c r="O45" s="522"/>
      <c r="P45" s="522"/>
      <c r="Q45" s="522"/>
      <c r="R45" s="522"/>
      <c r="S45" s="522"/>
      <c r="T45" s="522"/>
      <c r="U45" s="522"/>
      <c r="V45" s="522"/>
      <c r="W45" s="522"/>
      <c r="X45" s="522"/>
      <c r="Y45" s="522"/>
      <c r="Z45" s="522"/>
      <c r="AA45" s="522"/>
      <c r="AB45" s="522"/>
      <c r="AC45" s="522"/>
      <c r="AD45" s="522"/>
      <c r="AE45" s="522"/>
      <c r="AF45" s="522"/>
      <c r="AG45" s="522"/>
      <c r="AH45" s="522"/>
      <c r="AI45" s="522"/>
      <c r="AJ45" s="522"/>
      <c r="AK45" s="522"/>
      <c r="AL45" s="522"/>
      <c r="AM45" s="522"/>
      <c r="AN45" s="522"/>
      <c r="AO45" s="523"/>
      <c r="AP45" s="522"/>
      <c r="AQ45" s="522"/>
      <c r="AR45" s="522"/>
      <c r="AS45" s="522"/>
      <c r="AT45" s="522"/>
      <c r="AU45" s="522"/>
      <c r="AV45" s="522"/>
      <c r="AW45" s="522"/>
      <c r="AX45" s="522"/>
      <c r="AY45" s="522"/>
      <c r="AZ45" s="522"/>
      <c r="BA45" s="522"/>
      <c r="BB45" s="522"/>
      <c r="BC45" s="522"/>
      <c r="BD45" s="522"/>
      <c r="BE45" s="522"/>
      <c r="BF45" s="522"/>
      <c r="BG45" s="522"/>
      <c r="BH45" s="522"/>
      <c r="BI45" s="522"/>
      <c r="BJ45" s="522"/>
      <c r="BK45" s="523"/>
      <c r="BL45" s="522"/>
      <c r="BM45" s="522"/>
      <c r="BN45" s="522"/>
      <c r="BO45" s="522"/>
      <c r="BP45" s="522"/>
      <c r="BQ45" s="522"/>
      <c r="BR45" s="522"/>
      <c r="BS45" s="522"/>
      <c r="BT45" s="522"/>
      <c r="BU45" s="522"/>
      <c r="BV45" s="522"/>
      <c r="BW45" s="522"/>
      <c r="BX45" s="522"/>
      <c r="BY45" s="522"/>
      <c r="BZ45" s="522"/>
      <c r="CA45" s="523"/>
      <c r="CB45" s="522"/>
      <c r="CC45" s="522"/>
      <c r="CD45" s="522"/>
      <c r="CE45" s="522"/>
      <c r="CF45" s="522"/>
      <c r="CG45" s="522"/>
      <c r="CH45" s="522"/>
      <c r="CI45" s="522"/>
      <c r="CJ45" s="522"/>
      <c r="CK45" s="522"/>
      <c r="CL45" s="522"/>
      <c r="CM45" s="522"/>
      <c r="CN45" s="522"/>
      <c r="CO45" s="522"/>
      <c r="CP45" s="522"/>
      <c r="CQ45" s="522"/>
      <c r="CR45" s="522"/>
      <c r="CS45" s="522"/>
      <c r="CT45" s="522"/>
      <c r="CU45" s="522"/>
      <c r="CV45" s="522"/>
      <c r="CW45" s="522"/>
      <c r="CX45" s="522"/>
      <c r="CY45" s="524"/>
    </row>
    <row r="46" spans="1:103" ht="15" customHeight="1" x14ac:dyDescent="0.35">
      <c r="A46" s="894" t="s">
        <v>247</v>
      </c>
      <c r="B46" s="288" t="s">
        <v>277</v>
      </c>
      <c r="C46" s="479">
        <f>SUM(D46:CY46)</f>
        <v>0</v>
      </c>
      <c r="D46" s="503">
        <f>'Data entry'!B82</f>
        <v>0</v>
      </c>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1"/>
      <c r="AJ46" s="491"/>
      <c r="AK46" s="491"/>
      <c r="AL46" s="491"/>
      <c r="AM46" s="491"/>
      <c r="AN46" s="491"/>
      <c r="AO46" s="492"/>
      <c r="AP46" s="491"/>
      <c r="AQ46" s="491"/>
      <c r="AR46" s="491"/>
      <c r="AS46" s="491"/>
      <c r="AT46" s="491"/>
      <c r="AU46" s="491"/>
      <c r="AV46" s="491"/>
      <c r="AW46" s="491"/>
      <c r="AX46" s="491"/>
      <c r="AY46" s="491"/>
      <c r="AZ46" s="491"/>
      <c r="BA46" s="491"/>
      <c r="BB46" s="491"/>
      <c r="BC46" s="491"/>
      <c r="BD46" s="491"/>
      <c r="BE46" s="491"/>
      <c r="BF46" s="491"/>
      <c r="BG46" s="491"/>
      <c r="BH46" s="491"/>
      <c r="BI46" s="491"/>
      <c r="BJ46" s="491"/>
      <c r="BK46" s="492"/>
      <c r="BL46" s="491"/>
      <c r="BM46" s="491"/>
      <c r="BN46" s="491"/>
      <c r="BO46" s="491"/>
      <c r="BP46" s="491"/>
      <c r="BQ46" s="491"/>
      <c r="BR46" s="491"/>
      <c r="BS46" s="491"/>
      <c r="BT46" s="491"/>
      <c r="BU46" s="491"/>
      <c r="BV46" s="491"/>
      <c r="BW46" s="491"/>
      <c r="BX46" s="491"/>
      <c r="BY46" s="491"/>
      <c r="BZ46" s="491"/>
      <c r="CA46" s="492"/>
      <c r="CB46" s="491"/>
      <c r="CC46" s="491"/>
      <c r="CD46" s="491"/>
      <c r="CE46" s="491"/>
      <c r="CF46" s="491"/>
      <c r="CG46" s="491"/>
      <c r="CH46" s="491"/>
      <c r="CI46" s="491"/>
      <c r="CJ46" s="491"/>
      <c r="CK46" s="491"/>
      <c r="CL46" s="491"/>
      <c r="CM46" s="491"/>
      <c r="CN46" s="491"/>
      <c r="CO46" s="491"/>
      <c r="CP46" s="491"/>
      <c r="CQ46" s="491"/>
      <c r="CR46" s="491"/>
      <c r="CS46" s="491"/>
      <c r="CT46" s="491"/>
      <c r="CU46" s="491"/>
      <c r="CV46" s="491"/>
      <c r="CW46" s="491"/>
      <c r="CX46" s="491"/>
      <c r="CY46" s="493"/>
    </row>
    <row r="47" spans="1:103" ht="15" customHeight="1" x14ac:dyDescent="0.35">
      <c r="A47" s="894"/>
      <c r="B47" s="288" t="s">
        <v>278</v>
      </c>
      <c r="C47" s="479">
        <f>SUM(D47:CY47)</f>
        <v>0</v>
      </c>
      <c r="D47" s="503">
        <f>'Data entry'!B83</f>
        <v>0</v>
      </c>
      <c r="E47" s="491"/>
      <c r="F47" s="491"/>
      <c r="G47" s="491"/>
      <c r="H47" s="491"/>
      <c r="I47" s="491"/>
      <c r="J47" s="491"/>
      <c r="K47" s="491"/>
      <c r="L47" s="491"/>
      <c r="M47" s="491"/>
      <c r="N47" s="491"/>
      <c r="O47" s="491"/>
      <c r="P47" s="491"/>
      <c r="Q47" s="491"/>
      <c r="R47" s="491"/>
      <c r="S47" s="491"/>
      <c r="T47" s="491"/>
      <c r="U47" s="491"/>
      <c r="V47" s="491"/>
      <c r="W47" s="491"/>
      <c r="X47" s="491"/>
      <c r="Y47" s="491"/>
      <c r="Z47" s="491"/>
      <c r="AA47" s="491"/>
      <c r="AB47" s="491"/>
      <c r="AC47" s="491"/>
      <c r="AD47" s="491"/>
      <c r="AE47" s="491"/>
      <c r="AF47" s="491"/>
      <c r="AG47" s="491"/>
      <c r="AH47" s="491"/>
      <c r="AI47" s="491"/>
      <c r="AJ47" s="491"/>
      <c r="AK47" s="491"/>
      <c r="AL47" s="491"/>
      <c r="AM47" s="491"/>
      <c r="AN47" s="491"/>
      <c r="AO47" s="492"/>
      <c r="AP47" s="491"/>
      <c r="AQ47" s="491"/>
      <c r="AR47" s="491"/>
      <c r="AS47" s="491"/>
      <c r="AT47" s="491"/>
      <c r="AU47" s="491"/>
      <c r="AV47" s="491"/>
      <c r="AW47" s="491"/>
      <c r="AX47" s="491"/>
      <c r="AY47" s="491"/>
      <c r="AZ47" s="491"/>
      <c r="BA47" s="491"/>
      <c r="BB47" s="491"/>
      <c r="BC47" s="491"/>
      <c r="BD47" s="491"/>
      <c r="BE47" s="491"/>
      <c r="BF47" s="491"/>
      <c r="BG47" s="491"/>
      <c r="BH47" s="491"/>
      <c r="BI47" s="491"/>
      <c r="BJ47" s="491"/>
      <c r="BK47" s="492"/>
      <c r="BL47" s="491"/>
      <c r="BM47" s="491"/>
      <c r="BN47" s="491"/>
      <c r="BO47" s="491"/>
      <c r="BP47" s="491"/>
      <c r="BQ47" s="491"/>
      <c r="BR47" s="491"/>
      <c r="BS47" s="491"/>
      <c r="BT47" s="491"/>
      <c r="BU47" s="491"/>
      <c r="BV47" s="491"/>
      <c r="BW47" s="491"/>
      <c r="BX47" s="491"/>
      <c r="BY47" s="491"/>
      <c r="BZ47" s="491"/>
      <c r="CA47" s="492"/>
      <c r="CB47" s="491"/>
      <c r="CC47" s="491"/>
      <c r="CD47" s="491"/>
      <c r="CE47" s="491"/>
      <c r="CF47" s="491"/>
      <c r="CG47" s="491"/>
      <c r="CH47" s="491"/>
      <c r="CI47" s="491"/>
      <c r="CJ47" s="491"/>
      <c r="CK47" s="491"/>
      <c r="CL47" s="491"/>
      <c r="CM47" s="491"/>
      <c r="CN47" s="491"/>
      <c r="CO47" s="491"/>
      <c r="CP47" s="491"/>
      <c r="CQ47" s="491"/>
      <c r="CR47" s="491"/>
      <c r="CS47" s="491"/>
      <c r="CT47" s="491"/>
      <c r="CU47" s="491"/>
      <c r="CV47" s="491"/>
      <c r="CW47" s="491"/>
      <c r="CX47" s="491"/>
      <c r="CY47" s="493"/>
    </row>
    <row r="48" spans="1:103" ht="15" customHeight="1" x14ac:dyDescent="0.35">
      <c r="A48" s="894"/>
      <c r="B48" s="288" t="s">
        <v>457</v>
      </c>
      <c r="C48" s="479">
        <f>SUM(D48:CY48)</f>
        <v>0</v>
      </c>
      <c r="D48" s="491"/>
      <c r="E48" s="484">
        <f>IF(E4&lt;='Data entry'!$C$84,'Data entry'!$B84,0)</f>
        <v>0</v>
      </c>
      <c r="F48" s="484">
        <f>IF(F4&lt;='Data entry'!$C$84,'Data entry'!$B84,0)</f>
        <v>0</v>
      </c>
      <c r="G48" s="484">
        <f>IF(G4&lt;='Data entry'!$C$84,'Data entry'!$B84,0)</f>
        <v>0</v>
      </c>
      <c r="H48" s="484">
        <f>IF(H4&lt;='Data entry'!$C$84,'Data entry'!$B84,0)</f>
        <v>0</v>
      </c>
      <c r="I48" s="484">
        <f>IF(I4&lt;='Data entry'!$C$84,'Data entry'!$B84,0)</f>
        <v>0</v>
      </c>
      <c r="J48" s="484">
        <f>IF(J4&lt;='Data entry'!$C$84,'Data entry'!$B84,0)</f>
        <v>0</v>
      </c>
      <c r="K48" s="484">
        <f>IF(K4&lt;='Data entry'!$C$84,'Data entry'!$B84,0)</f>
        <v>0</v>
      </c>
      <c r="L48" s="484">
        <f>IF(L4&lt;='Data entry'!$C$84,'Data entry'!$B84,0)</f>
        <v>0</v>
      </c>
      <c r="M48" s="484">
        <f>IF(M4&lt;='Data entry'!$C$84,'Data entry'!$B84,0)</f>
        <v>0</v>
      </c>
      <c r="N48" s="484">
        <f>IF(N4&lt;='Data entry'!$C$84,'Data entry'!$B84,0)</f>
        <v>0</v>
      </c>
      <c r="O48" s="484">
        <f>IF(O4&lt;='Data entry'!$C$84,'Data entry'!$B84,0)</f>
        <v>0</v>
      </c>
      <c r="P48" s="484">
        <f>IF(P4&lt;='Data entry'!$C$84,'Data entry'!$B84,0)</f>
        <v>0</v>
      </c>
      <c r="Q48" s="484">
        <f>IF(Q4&lt;='Data entry'!$C$84,'Data entry'!$B84,0)</f>
        <v>0</v>
      </c>
      <c r="R48" s="484">
        <f>IF(R4&lt;='Data entry'!$C$84,'Data entry'!$B84,0)</f>
        <v>0</v>
      </c>
      <c r="S48" s="484">
        <f>IF(S4&lt;='Data entry'!$C$84,'Data entry'!$B84,0)</f>
        <v>0</v>
      </c>
      <c r="T48" s="491"/>
      <c r="U48" s="491"/>
      <c r="V48" s="491"/>
      <c r="W48" s="491"/>
      <c r="X48" s="491"/>
      <c r="Y48" s="491"/>
      <c r="Z48" s="491"/>
      <c r="AA48" s="491"/>
      <c r="AB48" s="491"/>
      <c r="AC48" s="491"/>
      <c r="AD48" s="491"/>
      <c r="AE48" s="491"/>
      <c r="AF48" s="491"/>
      <c r="AG48" s="491"/>
      <c r="AH48" s="491"/>
      <c r="AI48" s="491"/>
      <c r="AJ48" s="491"/>
      <c r="AK48" s="491"/>
      <c r="AL48" s="491"/>
      <c r="AM48" s="491"/>
      <c r="AN48" s="491"/>
      <c r="AO48" s="492"/>
      <c r="AP48" s="491"/>
      <c r="AQ48" s="491"/>
      <c r="AR48" s="491"/>
      <c r="AS48" s="491"/>
      <c r="AT48" s="491"/>
      <c r="AU48" s="491"/>
      <c r="AV48" s="491"/>
      <c r="AW48" s="491"/>
      <c r="AX48" s="491"/>
      <c r="AY48" s="491"/>
      <c r="AZ48" s="491"/>
      <c r="BA48" s="491"/>
      <c r="BB48" s="491"/>
      <c r="BC48" s="491"/>
      <c r="BD48" s="491"/>
      <c r="BE48" s="491"/>
      <c r="BF48" s="491"/>
      <c r="BG48" s="491"/>
      <c r="BH48" s="491"/>
      <c r="BI48" s="491"/>
      <c r="BJ48" s="491"/>
      <c r="BK48" s="492"/>
      <c r="BL48" s="491"/>
      <c r="BM48" s="491"/>
      <c r="BN48" s="491"/>
      <c r="BO48" s="491"/>
      <c r="BP48" s="491"/>
      <c r="BQ48" s="491"/>
      <c r="BR48" s="491"/>
      <c r="BS48" s="491"/>
      <c r="BT48" s="491"/>
      <c r="BU48" s="491"/>
      <c r="BV48" s="491"/>
      <c r="BW48" s="491"/>
      <c r="BX48" s="491"/>
      <c r="BY48" s="491"/>
      <c r="BZ48" s="491"/>
      <c r="CA48" s="492"/>
      <c r="CB48" s="491"/>
      <c r="CC48" s="491"/>
      <c r="CD48" s="491"/>
      <c r="CE48" s="491"/>
      <c r="CF48" s="491"/>
      <c r="CG48" s="491"/>
      <c r="CH48" s="491"/>
      <c r="CI48" s="491"/>
      <c r="CJ48" s="491"/>
      <c r="CK48" s="491"/>
      <c r="CL48" s="491"/>
      <c r="CM48" s="491"/>
      <c r="CN48" s="491"/>
      <c r="CO48" s="491"/>
      <c r="CP48" s="491"/>
      <c r="CQ48" s="491"/>
      <c r="CR48" s="491"/>
      <c r="CS48" s="491"/>
      <c r="CT48" s="491"/>
      <c r="CU48" s="491"/>
      <c r="CV48" s="491"/>
      <c r="CW48" s="491"/>
      <c r="CX48" s="491"/>
      <c r="CY48" s="493"/>
    </row>
    <row r="49" spans="1:103" ht="15" customHeight="1" x14ac:dyDescent="0.35">
      <c r="A49" s="894"/>
      <c r="B49" s="288" t="s">
        <v>458</v>
      </c>
      <c r="C49" s="479">
        <f>SUM(D49:CY49)</f>
        <v>0</v>
      </c>
      <c r="D49" s="503">
        <f>IF('Data entry'!$B$86="Yes",IF(D4&lt;'Data entry'!$I$103,'Data entry'!$J$106,0),0)</f>
        <v>0</v>
      </c>
      <c r="E49" s="503">
        <f>IF('Data entry'!$B$86="Yes",IF(E4&lt;'Data entry'!$I$103,'Data entry'!$J$106,0),0)</f>
        <v>0</v>
      </c>
      <c r="F49" s="503">
        <f>IF('Data entry'!$B$86="Yes",IF(F4&lt;'Data entry'!$I$103,'Data entry'!$J$106,0),0)</f>
        <v>0</v>
      </c>
      <c r="G49" s="503">
        <f>IF('Data entry'!$B$86="Yes",IF(G4&lt;'Data entry'!$I$103,'Data entry'!$J$106,0),0)</f>
        <v>0</v>
      </c>
      <c r="H49" s="503">
        <f>IF('Data entry'!$B$86="Yes",IF(H4&lt;'Data entry'!$I$103,'Data entry'!$J$106,0),0)</f>
        <v>0</v>
      </c>
      <c r="I49" s="503">
        <f>IF('Data entry'!$B$86="Yes",IF(I4&lt;'Data entry'!$I$103,'Data entry'!$J$106,0),0)</f>
        <v>0</v>
      </c>
      <c r="J49" s="503">
        <f>IF('Data entry'!$B$86="Yes",IF(J4&lt;'Data entry'!$I$103,'Data entry'!$J$106,0),0)</f>
        <v>0</v>
      </c>
      <c r="K49" s="503">
        <f>IF('Data entry'!$B$86="Yes",IF(K4&lt;'Data entry'!$I$103,'Data entry'!$J$106,0),0)</f>
        <v>0</v>
      </c>
      <c r="L49" s="503">
        <f>IF('Data entry'!$B$86="Yes",IF(L4&lt;'Data entry'!$I$103,'Data entry'!$J$106,0),0)</f>
        <v>0</v>
      </c>
      <c r="M49" s="503">
        <f>IF('Data entry'!$B$86="Yes",IF(M4&lt;'Data entry'!$I$103,'Data entry'!$J$106,0),0)</f>
        <v>0</v>
      </c>
      <c r="N49" s="503">
        <f>IF('Data entry'!$B$86="Yes",IF(N4&lt;'Data entry'!$I$103,'Data entry'!$J$106,0),0)</f>
        <v>0</v>
      </c>
      <c r="O49" s="503">
        <f>IF('Data entry'!$B$86="Yes",IF(O4&lt;'Data entry'!$I$103,'Data entry'!$J$106,0),0)</f>
        <v>0</v>
      </c>
      <c r="P49" s="503">
        <f>IF('Data entry'!$B$86="Yes",IF(P4&lt;'Data entry'!$I$103,'Data entry'!$J$106,0),0)</f>
        <v>0</v>
      </c>
      <c r="Q49" s="503">
        <f>IF('Data entry'!$B$86="Yes",IF(Q4&lt;'Data entry'!$I$103,'Data entry'!$J$106,0),0)</f>
        <v>0</v>
      </c>
      <c r="R49" s="503">
        <f>IF('Data entry'!$B$86="Yes",IF(R4&lt;'Data entry'!$I$103,'Data entry'!$J$106,0),0)</f>
        <v>0</v>
      </c>
      <c r="S49" s="503">
        <f>IF('Data entry'!$B$86="Yes",IF(S4&lt;'Data entry'!$I$103,'Data entry'!$J$106,0),0)</f>
        <v>0</v>
      </c>
      <c r="T49" s="503">
        <f>IF('Data entry'!$B$86="Yes",IF(T4&lt;'Data entry'!$I$103,'Data entry'!$J$106,0),0)</f>
        <v>0</v>
      </c>
      <c r="U49" s="503">
        <f>IF('Data entry'!$B$86="Yes",IF(U4&lt;'Data entry'!$I$103,'Data entry'!$J$106,0),0)</f>
        <v>0</v>
      </c>
      <c r="V49" s="503">
        <f>IF('Data entry'!$B$86="Yes",IF(V4&lt;'Data entry'!$I$103,'Data entry'!$J$106,0),0)</f>
        <v>0</v>
      </c>
      <c r="W49" s="503">
        <f>IF('Data entry'!$B$86="Yes",IF(W4&lt;'Data entry'!$I$103,'Data entry'!$J$106,0),0)</f>
        <v>0</v>
      </c>
      <c r="X49" s="491"/>
      <c r="Y49" s="491"/>
      <c r="Z49" s="491"/>
      <c r="AA49" s="491"/>
      <c r="AB49" s="491"/>
      <c r="AC49" s="491"/>
      <c r="AD49" s="491"/>
      <c r="AE49" s="491"/>
      <c r="AF49" s="491"/>
      <c r="AG49" s="491"/>
      <c r="AH49" s="491"/>
      <c r="AI49" s="491"/>
      <c r="AJ49" s="491"/>
      <c r="AK49" s="491"/>
      <c r="AL49" s="491"/>
      <c r="AM49" s="491"/>
      <c r="AN49" s="491"/>
      <c r="AO49" s="492"/>
      <c r="AP49" s="491"/>
      <c r="AQ49" s="491"/>
      <c r="AR49" s="491"/>
      <c r="AS49" s="491"/>
      <c r="AT49" s="491"/>
      <c r="AU49" s="491"/>
      <c r="AV49" s="491"/>
      <c r="AW49" s="491"/>
      <c r="AX49" s="491"/>
      <c r="AY49" s="491"/>
      <c r="AZ49" s="491"/>
      <c r="BA49" s="491"/>
      <c r="BB49" s="491"/>
      <c r="BC49" s="491"/>
      <c r="BD49" s="491"/>
      <c r="BE49" s="491"/>
      <c r="BF49" s="491"/>
      <c r="BG49" s="491"/>
      <c r="BH49" s="491"/>
      <c r="BI49" s="491"/>
      <c r="BJ49" s="491"/>
      <c r="BK49" s="492"/>
      <c r="BL49" s="491"/>
      <c r="BM49" s="491"/>
      <c r="BN49" s="491"/>
      <c r="BO49" s="491"/>
      <c r="BP49" s="491"/>
      <c r="BQ49" s="491"/>
      <c r="BR49" s="491"/>
      <c r="BS49" s="491"/>
      <c r="BT49" s="491"/>
      <c r="BU49" s="491"/>
      <c r="BV49" s="491"/>
      <c r="BW49" s="491"/>
      <c r="BX49" s="491"/>
      <c r="BY49" s="491"/>
      <c r="BZ49" s="491"/>
      <c r="CA49" s="492"/>
      <c r="CB49" s="491"/>
      <c r="CC49" s="491"/>
      <c r="CD49" s="491"/>
      <c r="CE49" s="491"/>
      <c r="CF49" s="491"/>
      <c r="CG49" s="491"/>
      <c r="CH49" s="491"/>
      <c r="CI49" s="491"/>
      <c r="CJ49" s="491"/>
      <c r="CK49" s="491"/>
      <c r="CL49" s="491"/>
      <c r="CM49" s="491"/>
      <c r="CN49" s="491"/>
      <c r="CO49" s="491"/>
      <c r="CP49" s="491"/>
      <c r="CQ49" s="491"/>
      <c r="CR49" s="491"/>
      <c r="CS49" s="491"/>
      <c r="CT49" s="491"/>
      <c r="CU49" s="491"/>
      <c r="CV49" s="491"/>
      <c r="CW49" s="491"/>
      <c r="CX49" s="491"/>
      <c r="CY49" s="493"/>
    </row>
    <row r="50" spans="1:103" ht="15" customHeight="1" x14ac:dyDescent="0.35">
      <c r="A50" s="894"/>
      <c r="B50" s="525" t="str">
        <f>'Data entry'!A85</f>
        <v>Other grant (specify)</v>
      </c>
      <c r="C50" s="479">
        <f>SUM(D50:CY50)</f>
        <v>0</v>
      </c>
      <c r="D50" s="484">
        <f>IF(AND(D$4&lt;'Data entry'!$B$13,D$4&lt;'Data entry'!$C$85),'Data entry'!$B$85,0)</f>
        <v>0</v>
      </c>
      <c r="E50" s="484">
        <f>IF(AND(E$4&lt;'Data entry'!$B$13,E$4&lt;'Data entry'!$C$85),'Data entry'!$B$85,0)</f>
        <v>0</v>
      </c>
      <c r="F50" s="484">
        <f>IF(AND(F$4&lt;'Data entry'!$B$13,F$4&lt;'Data entry'!$C$85),'Data entry'!$B$85,0)</f>
        <v>0</v>
      </c>
      <c r="G50" s="484">
        <f>IF(AND(G$4&lt;'Data entry'!$B$13,G$4&lt;'Data entry'!$C$85),'Data entry'!$B$85,0)</f>
        <v>0</v>
      </c>
      <c r="H50" s="484">
        <f>IF(AND(H$4&lt;'Data entry'!$B$13,H$4&lt;'Data entry'!$C$85),'Data entry'!$B$85,0)</f>
        <v>0</v>
      </c>
      <c r="I50" s="484">
        <f>IF(AND(I$4&lt;'Data entry'!$B$13,I$4&lt;'Data entry'!$C$85),'Data entry'!$B$85,0)</f>
        <v>0</v>
      </c>
      <c r="J50" s="484">
        <f>IF(AND(J$4&lt;'Data entry'!$B$13,J$4&lt;'Data entry'!$C$85),'Data entry'!$B$85,0)</f>
        <v>0</v>
      </c>
      <c r="K50" s="484">
        <f>IF(AND(K$4&lt;'Data entry'!$B$13,K$4&lt;'Data entry'!$C$85),'Data entry'!$B$85,0)</f>
        <v>0</v>
      </c>
      <c r="L50" s="484">
        <f>IF(AND(L$4&lt;'Data entry'!$B$13,L$4&lt;'Data entry'!$C$85),'Data entry'!$B$85,0)</f>
        <v>0</v>
      </c>
      <c r="M50" s="484">
        <f>IF(AND(M$4&lt;'Data entry'!$B$13,M$4&lt;'Data entry'!$C$85),'Data entry'!$B$85,0)</f>
        <v>0</v>
      </c>
      <c r="N50" s="484">
        <f>IF(AND(N$4&lt;'Data entry'!$B$13,N$4&lt;'Data entry'!$C$85),'Data entry'!$B$85,0)</f>
        <v>0</v>
      </c>
      <c r="O50" s="484">
        <f>IF(AND(O$4&lt;'Data entry'!$B$13,O$4&lt;'Data entry'!$C$85),'Data entry'!$B$85,0)</f>
        <v>0</v>
      </c>
      <c r="P50" s="484">
        <f>IF(AND(P$4&lt;'Data entry'!$B$13,P$4&lt;'Data entry'!$C$85),'Data entry'!$B$85,0)</f>
        <v>0</v>
      </c>
      <c r="Q50" s="484">
        <f>IF(AND(Q$4&lt;'Data entry'!$B$13,Q$4&lt;'Data entry'!$C$85),'Data entry'!$B$85,0)</f>
        <v>0</v>
      </c>
      <c r="R50" s="484">
        <f>IF(AND(R$4&lt;'Data entry'!$B$13,R$4&lt;'Data entry'!$C$85),'Data entry'!$B$85,0)</f>
        <v>0</v>
      </c>
      <c r="S50" s="484">
        <f>IF(AND(S$4&lt;'Data entry'!$B$13,S$4&lt;'Data entry'!$C$85),'Data entry'!$B$85,0)</f>
        <v>0</v>
      </c>
      <c r="T50" s="484">
        <f>IF(AND(T$4&lt;'Data entry'!$B$13,T$4&lt;'Data entry'!$C$85),'Data entry'!$B$85,0)</f>
        <v>0</v>
      </c>
      <c r="U50" s="484">
        <f>IF(AND(U$4&lt;'Data entry'!$B$13,U$4&lt;'Data entry'!$C$85),'Data entry'!$B$85,0)</f>
        <v>0</v>
      </c>
      <c r="V50" s="484">
        <f>IF(AND(V$4&lt;'Data entry'!$B$13,V$4&lt;'Data entry'!$C$85),'Data entry'!$B$85,0)</f>
        <v>0</v>
      </c>
      <c r="W50" s="484">
        <f>IF(AND(W$4&lt;'Data entry'!$B$13,W$4&lt;'Data entry'!$C$85),'Data entry'!$B$85,0)</f>
        <v>0</v>
      </c>
      <c r="X50" s="484">
        <f>IF(AND(X$4&lt;'Data entry'!$B$13,X$4&lt;'Data entry'!$C$85),'Data entry'!$B$85,0)</f>
        <v>0</v>
      </c>
      <c r="Y50" s="484">
        <f>IF(AND(Y$4&lt;'Data entry'!$B$13,Y$4&lt;'Data entry'!$C$85),'Data entry'!$B$85,0)</f>
        <v>0</v>
      </c>
      <c r="Z50" s="484">
        <f>IF(AND(Z$4&lt;'Data entry'!$B$13,Z$4&lt;'Data entry'!$C$85),'Data entry'!$B$85,0)</f>
        <v>0</v>
      </c>
      <c r="AA50" s="484">
        <f>IF(AND(AA$4&lt;'Data entry'!$B$13,AA$4&lt;'Data entry'!$C$85),'Data entry'!$B$85,0)</f>
        <v>0</v>
      </c>
      <c r="AB50" s="484">
        <f>IF(AND(AB$4&lt;'Data entry'!$B$13,AB$4&lt;'Data entry'!$C$85),'Data entry'!$B$85,0)</f>
        <v>0</v>
      </c>
      <c r="AC50" s="484">
        <f>IF(AND(AC$4&lt;'Data entry'!$B$13,AC$4&lt;'Data entry'!$C$85),'Data entry'!$B$85,0)</f>
        <v>0</v>
      </c>
      <c r="AD50" s="484">
        <f>IF(AND(AD$4&lt;'Data entry'!$B$13,AD$4&lt;'Data entry'!$C$85),'Data entry'!$B$85,0)</f>
        <v>0</v>
      </c>
      <c r="AE50" s="484">
        <f>IF(AND(AE$4&lt;'Data entry'!$B$13,AE$4&lt;'Data entry'!$C$85),'Data entry'!$B$85,0)</f>
        <v>0</v>
      </c>
      <c r="AF50" s="484">
        <f>IF(AND(AF$4&lt;'Data entry'!$B$13,AF$4&lt;'Data entry'!$C$85),'Data entry'!$B$85,0)</f>
        <v>0</v>
      </c>
      <c r="AG50" s="484">
        <f>IF(AND(AG$4&lt;'Data entry'!$B$13,AG$4&lt;'Data entry'!$C$85),'Data entry'!$B$85,0)</f>
        <v>0</v>
      </c>
      <c r="AH50" s="484">
        <f>IF(AND(AH$4&lt;'Data entry'!$B$13,AH$4&lt;'Data entry'!$C$85),'Data entry'!$B$85,0)</f>
        <v>0</v>
      </c>
      <c r="AI50" s="484">
        <f>IF(AND(AI$4&lt;'Data entry'!$B$13,AI$4&lt;'Data entry'!$C$85),'Data entry'!$B$85,0)</f>
        <v>0</v>
      </c>
      <c r="AJ50" s="484">
        <f>IF(AND(AJ$4&lt;'Data entry'!$B$13,AJ$4&lt;'Data entry'!$C$85),'Data entry'!$B$85,0)</f>
        <v>0</v>
      </c>
      <c r="AK50" s="484">
        <f>IF(AND(AK$4&lt;'Data entry'!$B$13,AK$4&lt;'Data entry'!$C$85),'Data entry'!$B$85,0)</f>
        <v>0</v>
      </c>
      <c r="AL50" s="484">
        <f>IF(AND(AL$4&lt;'Data entry'!$B$13,AL$4&lt;'Data entry'!$C$85),'Data entry'!$B$85,0)</f>
        <v>0</v>
      </c>
      <c r="AM50" s="484">
        <f>IF(AND(AM$4&lt;'Data entry'!$B$13,AM$4&lt;'Data entry'!$C$85),'Data entry'!$B$85,0)</f>
        <v>0</v>
      </c>
      <c r="AN50" s="484">
        <f>IF(AND(AN$4&lt;'Data entry'!$B$13,AN$4&lt;'Data entry'!$C$85),'Data entry'!$B$85,0)</f>
        <v>0</v>
      </c>
      <c r="AO50" s="488">
        <f>IF(AND(AO$4&lt;'Data entry'!$B$13,AO$4&lt;'Data entry'!$C$85),'Data entry'!$B$85,0)</f>
        <v>0</v>
      </c>
      <c r="AP50" s="484">
        <f>IF(AND(AP$4&lt;'Data entry'!$B$13,AP$4&lt;'Data entry'!$C$85),'Data entry'!$B$85,0)</f>
        <v>0</v>
      </c>
      <c r="AQ50" s="484">
        <f>IF(AND(AQ$4&lt;'Data entry'!$B$13,AQ$4&lt;'Data entry'!$C$85),'Data entry'!$B$85,0)</f>
        <v>0</v>
      </c>
      <c r="AR50" s="484">
        <f>IF(AND(AR$4&lt;'Data entry'!$B$13,AR$4&lt;'Data entry'!$C$85),'Data entry'!$B$85,0)</f>
        <v>0</v>
      </c>
      <c r="AS50" s="484">
        <f>IF(AND(AS$4&lt;'Data entry'!$B$13,AS$4&lt;'Data entry'!$C$85),'Data entry'!$B$85,0)</f>
        <v>0</v>
      </c>
      <c r="AT50" s="484">
        <f>IF(AND(AT$4&lt;'Data entry'!$B$13,AT$4&lt;'Data entry'!$C$85),'Data entry'!$B$85,0)</f>
        <v>0</v>
      </c>
      <c r="AU50" s="484">
        <f>IF(AND(AU$4&lt;'Data entry'!$B$13,AU$4&lt;'Data entry'!$C$85),'Data entry'!$B$85,0)</f>
        <v>0</v>
      </c>
      <c r="AV50" s="484">
        <f>IF(AND(AV$4&lt;'Data entry'!$B$13,AV$4&lt;'Data entry'!$C$85),'Data entry'!$B$85,0)</f>
        <v>0</v>
      </c>
      <c r="AW50" s="484">
        <f>IF(AND(AW$4&lt;'Data entry'!$B$13,AW$4&lt;'Data entry'!$C$85),'Data entry'!$B$85,0)</f>
        <v>0</v>
      </c>
      <c r="AX50" s="484">
        <f>IF(AND(AX$4&lt;'Data entry'!$B$13,AX$4&lt;'Data entry'!$C$85),'Data entry'!$B$85,0)</f>
        <v>0</v>
      </c>
      <c r="AY50" s="484">
        <f>IF(AND(AY$4&lt;'Data entry'!$B$13,AY$4&lt;'Data entry'!$C$85),'Data entry'!$B$85,0)</f>
        <v>0</v>
      </c>
      <c r="AZ50" s="484">
        <f>IF(AND(AZ$4&lt;'Data entry'!$B$13,AZ$4&lt;'Data entry'!$C$85),'Data entry'!$B$85,0)</f>
        <v>0</v>
      </c>
      <c r="BA50" s="484">
        <f>IF(AND(BA$4&lt;'Data entry'!$B$13,BA$4&lt;'Data entry'!$C$85),'Data entry'!$B$85,0)</f>
        <v>0</v>
      </c>
      <c r="BB50" s="484">
        <f>IF(AND(BB$4&lt;'Data entry'!$B$13,BB$4&lt;'Data entry'!$C$85),'Data entry'!$B$85,0)</f>
        <v>0</v>
      </c>
      <c r="BC50" s="484">
        <f>IF(AND(BC$4&lt;'Data entry'!$B$13,BC$4&lt;'Data entry'!$C$85),'Data entry'!$B$85,0)</f>
        <v>0</v>
      </c>
      <c r="BD50" s="484">
        <f>IF(AND(BD$4&lt;'Data entry'!$B$13,BD$4&lt;'Data entry'!$C$85),'Data entry'!$B$85,0)</f>
        <v>0</v>
      </c>
      <c r="BE50" s="484">
        <f>IF(AND(BE$4&lt;'Data entry'!$B$13,BE$4&lt;'Data entry'!$C$85),'Data entry'!$B$85,0)</f>
        <v>0</v>
      </c>
      <c r="BF50" s="484">
        <f>IF(AND(BF$4&lt;'Data entry'!$B$13,BF$4&lt;'Data entry'!$C$85),'Data entry'!$B$85,0)</f>
        <v>0</v>
      </c>
      <c r="BG50" s="484">
        <f>IF(AND(BG$4&lt;'Data entry'!$B$13,BG$4&lt;'Data entry'!$C$85),'Data entry'!$B$85,0)</f>
        <v>0</v>
      </c>
      <c r="BH50" s="484">
        <f>IF(AND(BH$4&lt;'Data entry'!$B$13,BH$4&lt;'Data entry'!$C$85),'Data entry'!$B$85,0)</f>
        <v>0</v>
      </c>
      <c r="BI50" s="484">
        <f>IF(AND(BI$4&lt;'Data entry'!$B$13,BI$4&lt;'Data entry'!$C$85),'Data entry'!$B$85,0)</f>
        <v>0</v>
      </c>
      <c r="BJ50" s="484">
        <f>IF(AND(BJ$4&lt;'Data entry'!$B$13,BJ$4&lt;'Data entry'!$C$85),'Data entry'!$B$85,0)</f>
        <v>0</v>
      </c>
      <c r="BK50" s="488">
        <f>IF(AND(BK$4&lt;'Data entry'!$B$13,BK$4&lt;'Data entry'!$C$85),'Data entry'!$B$85,0)</f>
        <v>0</v>
      </c>
      <c r="BL50" s="484">
        <f>IF(AND(BL$4&lt;'Data entry'!$B$13,BL$4&lt;'Data entry'!$C$85),'Data entry'!$B$85,0)</f>
        <v>0</v>
      </c>
      <c r="BM50" s="484">
        <f>IF(AND(BM$4&lt;'Data entry'!$B$13,BM$4&lt;'Data entry'!$C$85),'Data entry'!$B$85,0)</f>
        <v>0</v>
      </c>
      <c r="BN50" s="484">
        <f>IF(AND(BN$4&lt;'Data entry'!$B$13,BN$4&lt;'Data entry'!$C$85),'Data entry'!$B$85,0)</f>
        <v>0</v>
      </c>
      <c r="BO50" s="484">
        <f>IF(AND(BO$4&lt;'Data entry'!$B$13,BO$4&lt;'Data entry'!$C$85),'Data entry'!$B$85,0)</f>
        <v>0</v>
      </c>
      <c r="BP50" s="484">
        <f>IF(AND(BP$4&lt;'Data entry'!$B$13,BP$4&lt;'Data entry'!$C$85),'Data entry'!$B$85,0)</f>
        <v>0</v>
      </c>
      <c r="BQ50" s="484">
        <f>IF(AND(BQ$4&lt;'Data entry'!$B$13,BQ$4&lt;'Data entry'!$C$85),'Data entry'!$B$85,0)</f>
        <v>0</v>
      </c>
      <c r="BR50" s="484">
        <f>IF(AND(BR$4&lt;'Data entry'!$B$13,BR$4&lt;'Data entry'!$C$85),'Data entry'!$B$85,0)</f>
        <v>0</v>
      </c>
      <c r="BS50" s="484">
        <f>IF(AND(BS$4&lt;'Data entry'!$B$13,BS$4&lt;'Data entry'!$C$85),'Data entry'!$B$85,0)</f>
        <v>0</v>
      </c>
      <c r="BT50" s="484">
        <f>IF(AND(BT$4&lt;'Data entry'!$B$13,BT$4&lt;'Data entry'!$C$85),'Data entry'!$B$85,0)</f>
        <v>0</v>
      </c>
      <c r="BU50" s="484">
        <f>IF(AND(BU$4&lt;'Data entry'!$B$13,BU$4&lt;'Data entry'!$C$85),'Data entry'!$B$85,0)</f>
        <v>0</v>
      </c>
      <c r="BV50" s="484">
        <f>IF(AND(BV$4&lt;'Data entry'!$B$13,BV$4&lt;'Data entry'!$C$85),'Data entry'!$B$85,0)</f>
        <v>0</v>
      </c>
      <c r="BW50" s="484">
        <f>IF(AND(BW$4&lt;'Data entry'!$B$13,BW$4&lt;'Data entry'!$C$85),'Data entry'!$B$85,0)</f>
        <v>0</v>
      </c>
      <c r="BX50" s="484">
        <f>IF(AND(BX$4&lt;'Data entry'!$B$13,BX$4&lt;'Data entry'!$C$85),'Data entry'!$B$85,0)</f>
        <v>0</v>
      </c>
      <c r="BY50" s="484">
        <f>IF(AND(BY$4&lt;'Data entry'!$B$13,BY$4&lt;'Data entry'!$C$85),'Data entry'!$B$85,0)</f>
        <v>0</v>
      </c>
      <c r="BZ50" s="484">
        <f>IF(AND(BZ$4&lt;'Data entry'!$B$13,BZ$4&lt;'Data entry'!$C$85),'Data entry'!$B$85,0)</f>
        <v>0</v>
      </c>
      <c r="CA50" s="488">
        <f>IF(AND(CA$4&lt;'Data entry'!$B$13,CA$4&lt;'Data entry'!$C$85),'Data entry'!$B$85,0)</f>
        <v>0</v>
      </c>
      <c r="CB50" s="484">
        <f>IF(AND(CB$4&lt;'Data entry'!$B$13,CB$4&lt;'Data entry'!$C$85),'Data entry'!$B$85,0)</f>
        <v>0</v>
      </c>
      <c r="CC50" s="484">
        <f>IF(AND(CC$4&lt;'Data entry'!$B$13,CC$4&lt;'Data entry'!$C$85),'Data entry'!$B$85,0)</f>
        <v>0</v>
      </c>
      <c r="CD50" s="484">
        <f>IF(AND(CD$4&lt;'Data entry'!$B$13,CD$4&lt;'Data entry'!$C$85),'Data entry'!$B$85,0)</f>
        <v>0</v>
      </c>
      <c r="CE50" s="484">
        <f>IF(AND(CE$4&lt;'Data entry'!$B$13,CE$4&lt;'Data entry'!$C$85),'Data entry'!$B$85,0)</f>
        <v>0</v>
      </c>
      <c r="CF50" s="484">
        <f>IF(AND(CF$4&lt;'Data entry'!$B$13,CF$4&lt;'Data entry'!$C$85),'Data entry'!$B$85,0)</f>
        <v>0</v>
      </c>
      <c r="CG50" s="484">
        <f>IF(AND(CG$4&lt;'Data entry'!$B$13,CG$4&lt;'Data entry'!$C$85),'Data entry'!$B$85,0)</f>
        <v>0</v>
      </c>
      <c r="CH50" s="484">
        <f>IF(AND(CH$4&lt;'Data entry'!$B$13,CH$4&lt;'Data entry'!$C$85),'Data entry'!$B$85,0)</f>
        <v>0</v>
      </c>
      <c r="CI50" s="484">
        <f>IF(AND(CI$4&lt;'Data entry'!$B$13,CI$4&lt;'Data entry'!$C$85),'Data entry'!$B$85,0)</f>
        <v>0</v>
      </c>
      <c r="CJ50" s="484">
        <f>IF(AND(CJ$4&lt;'Data entry'!$B$13,CJ$4&lt;'Data entry'!$C$85),'Data entry'!$B$85,0)</f>
        <v>0</v>
      </c>
      <c r="CK50" s="484">
        <f>IF(AND(CK$4&lt;'Data entry'!$B$13,CK$4&lt;'Data entry'!$C$85),'Data entry'!$B$85,0)</f>
        <v>0</v>
      </c>
      <c r="CL50" s="484">
        <f>IF(AND(CL$4&lt;'Data entry'!$B$13,CL$4&lt;'Data entry'!$C$85),'Data entry'!$B$85,0)</f>
        <v>0</v>
      </c>
      <c r="CM50" s="484">
        <f>IF(AND(CM$4&lt;'Data entry'!$B$13,CM$4&lt;'Data entry'!$C$85),'Data entry'!$B$85,0)</f>
        <v>0</v>
      </c>
      <c r="CN50" s="484">
        <f>IF(AND(CN$4&lt;'Data entry'!$B$13,CN$4&lt;'Data entry'!$C$85),'Data entry'!$B$85,0)</f>
        <v>0</v>
      </c>
      <c r="CO50" s="484">
        <f>IF(AND(CO$4&lt;'Data entry'!$B$13,CO$4&lt;'Data entry'!$C$85),'Data entry'!$B$85,0)</f>
        <v>0</v>
      </c>
      <c r="CP50" s="484">
        <f>IF(AND(CP$4&lt;'Data entry'!$B$13,CP$4&lt;'Data entry'!$C$85),'Data entry'!$B$85,0)</f>
        <v>0</v>
      </c>
      <c r="CQ50" s="484">
        <f>IF(AND(CQ$4&lt;'Data entry'!$B$13,CQ$4&lt;'Data entry'!$C$85),'Data entry'!$B$85,0)</f>
        <v>0</v>
      </c>
      <c r="CR50" s="484">
        <f>IF(AND(CR$4&lt;'Data entry'!$B$13,CR$4&lt;'Data entry'!$C$85),'Data entry'!$B$85,0)</f>
        <v>0</v>
      </c>
      <c r="CS50" s="484">
        <f>IF(AND(CS$4&lt;'Data entry'!$B$13,CS$4&lt;'Data entry'!$C$85),'Data entry'!$B$85,0)</f>
        <v>0</v>
      </c>
      <c r="CT50" s="484">
        <f>IF(AND(CT$4&lt;'Data entry'!$B$13,CT$4&lt;'Data entry'!$C$85),'Data entry'!$B$85,0)</f>
        <v>0</v>
      </c>
      <c r="CU50" s="484">
        <f>IF(AND(CU$4&lt;'Data entry'!$B$13,CU$4&lt;'Data entry'!$C$85),'Data entry'!$B$85,0)</f>
        <v>0</v>
      </c>
      <c r="CV50" s="484">
        <f>IF(AND(CV$4&lt;'Data entry'!$B$13,CV$4&lt;'Data entry'!$C$85),'Data entry'!$B$85,0)</f>
        <v>0</v>
      </c>
      <c r="CW50" s="484">
        <f>IF(AND(CW$4&lt;'Data entry'!$B$13,CW$4&lt;'Data entry'!$C$85),'Data entry'!$B$85,0)</f>
        <v>0</v>
      </c>
      <c r="CX50" s="484">
        <f>IF(AND(CX$4&lt;'Data entry'!$B$13,CX$4&lt;'Data entry'!$C$85),'Data entry'!$B$85,0)</f>
        <v>0</v>
      </c>
      <c r="CY50" s="507">
        <f>IF(AND(CY$4&lt;'Data entry'!$B$13,CY$4&lt;'Data entry'!$C$85),'Data entry'!$B$85,0)</f>
        <v>0</v>
      </c>
    </row>
    <row r="51" spans="1:103" ht="15" customHeight="1" x14ac:dyDescent="0.35">
      <c r="A51" s="898" t="s">
        <v>2</v>
      </c>
      <c r="B51" s="498"/>
      <c r="C51" s="500">
        <f>SUM(C46:C50)</f>
        <v>0</v>
      </c>
      <c r="D51" s="499">
        <f>SUM(D46:D50)</f>
        <v>0</v>
      </c>
      <c r="E51" s="499">
        <f t="shared" ref="E51:BO51" si="14">SUM(E46:E50)</f>
        <v>0</v>
      </c>
      <c r="F51" s="499">
        <f t="shared" si="14"/>
        <v>0</v>
      </c>
      <c r="G51" s="499">
        <f t="shared" si="14"/>
        <v>0</v>
      </c>
      <c r="H51" s="499">
        <f t="shared" si="14"/>
        <v>0</v>
      </c>
      <c r="I51" s="499">
        <f t="shared" si="14"/>
        <v>0</v>
      </c>
      <c r="J51" s="499">
        <f t="shared" si="14"/>
        <v>0</v>
      </c>
      <c r="K51" s="499">
        <f t="shared" si="14"/>
        <v>0</v>
      </c>
      <c r="L51" s="499">
        <f t="shared" si="14"/>
        <v>0</v>
      </c>
      <c r="M51" s="499">
        <f t="shared" si="14"/>
        <v>0</v>
      </c>
      <c r="N51" s="499">
        <f t="shared" si="14"/>
        <v>0</v>
      </c>
      <c r="O51" s="499">
        <f t="shared" si="14"/>
        <v>0</v>
      </c>
      <c r="P51" s="499">
        <f t="shared" si="14"/>
        <v>0</v>
      </c>
      <c r="Q51" s="499">
        <f t="shared" si="14"/>
        <v>0</v>
      </c>
      <c r="R51" s="499">
        <f t="shared" si="14"/>
        <v>0</v>
      </c>
      <c r="S51" s="499">
        <f t="shared" si="14"/>
        <v>0</v>
      </c>
      <c r="T51" s="499">
        <f t="shared" si="14"/>
        <v>0</v>
      </c>
      <c r="U51" s="499">
        <f t="shared" si="14"/>
        <v>0</v>
      </c>
      <c r="V51" s="499">
        <f t="shared" si="14"/>
        <v>0</v>
      </c>
      <c r="W51" s="499">
        <f t="shared" si="14"/>
        <v>0</v>
      </c>
      <c r="X51" s="499">
        <f t="shared" si="14"/>
        <v>0</v>
      </c>
      <c r="Y51" s="499">
        <f t="shared" si="14"/>
        <v>0</v>
      </c>
      <c r="Z51" s="499">
        <f t="shared" si="14"/>
        <v>0</v>
      </c>
      <c r="AA51" s="499">
        <f t="shared" si="14"/>
        <v>0</v>
      </c>
      <c r="AB51" s="499">
        <f t="shared" si="14"/>
        <v>0</v>
      </c>
      <c r="AC51" s="499">
        <f t="shared" si="14"/>
        <v>0</v>
      </c>
      <c r="AD51" s="499">
        <f t="shared" si="14"/>
        <v>0</v>
      </c>
      <c r="AE51" s="499">
        <f t="shared" si="14"/>
        <v>0</v>
      </c>
      <c r="AF51" s="499">
        <f t="shared" si="14"/>
        <v>0</v>
      </c>
      <c r="AG51" s="499">
        <f t="shared" si="14"/>
        <v>0</v>
      </c>
      <c r="AH51" s="499">
        <f t="shared" si="14"/>
        <v>0</v>
      </c>
      <c r="AI51" s="499">
        <f t="shared" si="14"/>
        <v>0</v>
      </c>
      <c r="AJ51" s="499">
        <f t="shared" si="14"/>
        <v>0</v>
      </c>
      <c r="AK51" s="499">
        <f t="shared" si="14"/>
        <v>0</v>
      </c>
      <c r="AL51" s="499">
        <f t="shared" si="14"/>
        <v>0</v>
      </c>
      <c r="AM51" s="499">
        <f t="shared" si="14"/>
        <v>0</v>
      </c>
      <c r="AN51" s="499">
        <f t="shared" si="14"/>
        <v>0</v>
      </c>
      <c r="AO51" s="501">
        <f t="shared" si="14"/>
        <v>0</v>
      </c>
      <c r="AP51" s="499">
        <f t="shared" si="14"/>
        <v>0</v>
      </c>
      <c r="AQ51" s="499">
        <f t="shared" si="14"/>
        <v>0</v>
      </c>
      <c r="AR51" s="499">
        <f t="shared" si="14"/>
        <v>0</v>
      </c>
      <c r="AS51" s="499">
        <f t="shared" si="14"/>
        <v>0</v>
      </c>
      <c r="AT51" s="499">
        <f t="shared" si="14"/>
        <v>0</v>
      </c>
      <c r="AU51" s="499">
        <f t="shared" si="14"/>
        <v>0</v>
      </c>
      <c r="AV51" s="499">
        <f t="shared" si="14"/>
        <v>0</v>
      </c>
      <c r="AW51" s="499">
        <f t="shared" si="14"/>
        <v>0</v>
      </c>
      <c r="AX51" s="499">
        <f t="shared" si="14"/>
        <v>0</v>
      </c>
      <c r="AY51" s="499">
        <f t="shared" si="14"/>
        <v>0</v>
      </c>
      <c r="AZ51" s="499">
        <f t="shared" si="14"/>
        <v>0</v>
      </c>
      <c r="BA51" s="499">
        <f t="shared" si="14"/>
        <v>0</v>
      </c>
      <c r="BB51" s="499">
        <f t="shared" si="14"/>
        <v>0</v>
      </c>
      <c r="BC51" s="499">
        <f t="shared" si="14"/>
        <v>0</v>
      </c>
      <c r="BD51" s="499">
        <f t="shared" si="14"/>
        <v>0</v>
      </c>
      <c r="BE51" s="499">
        <f t="shared" si="14"/>
        <v>0</v>
      </c>
      <c r="BF51" s="499">
        <f t="shared" si="14"/>
        <v>0</v>
      </c>
      <c r="BG51" s="499">
        <f t="shared" si="14"/>
        <v>0</v>
      </c>
      <c r="BH51" s="499">
        <f t="shared" si="14"/>
        <v>0</v>
      </c>
      <c r="BI51" s="499">
        <f t="shared" si="14"/>
        <v>0</v>
      </c>
      <c r="BJ51" s="499">
        <f t="shared" si="14"/>
        <v>0</v>
      </c>
      <c r="BK51" s="501">
        <f t="shared" si="14"/>
        <v>0</v>
      </c>
      <c r="BL51" s="499">
        <f t="shared" si="14"/>
        <v>0</v>
      </c>
      <c r="BM51" s="499">
        <f t="shared" si="14"/>
        <v>0</v>
      </c>
      <c r="BN51" s="499">
        <f t="shared" si="14"/>
        <v>0</v>
      </c>
      <c r="BO51" s="499">
        <f t="shared" si="14"/>
        <v>0</v>
      </c>
      <c r="BP51" s="499">
        <f t="shared" ref="BP51:CY51" si="15">SUM(BP46:BP50)</f>
        <v>0</v>
      </c>
      <c r="BQ51" s="499">
        <f t="shared" si="15"/>
        <v>0</v>
      </c>
      <c r="BR51" s="499">
        <f t="shared" si="15"/>
        <v>0</v>
      </c>
      <c r="BS51" s="499">
        <f t="shared" si="15"/>
        <v>0</v>
      </c>
      <c r="BT51" s="499">
        <f t="shared" si="15"/>
        <v>0</v>
      </c>
      <c r="BU51" s="499">
        <f t="shared" si="15"/>
        <v>0</v>
      </c>
      <c r="BV51" s="499">
        <f t="shared" si="15"/>
        <v>0</v>
      </c>
      <c r="BW51" s="499">
        <f t="shared" si="15"/>
        <v>0</v>
      </c>
      <c r="BX51" s="499">
        <f t="shared" si="15"/>
        <v>0</v>
      </c>
      <c r="BY51" s="499">
        <f t="shared" si="15"/>
        <v>0</v>
      </c>
      <c r="BZ51" s="499">
        <f t="shared" si="15"/>
        <v>0</v>
      </c>
      <c r="CA51" s="501">
        <f t="shared" si="15"/>
        <v>0</v>
      </c>
      <c r="CB51" s="499">
        <f t="shared" si="15"/>
        <v>0</v>
      </c>
      <c r="CC51" s="499">
        <f t="shared" si="15"/>
        <v>0</v>
      </c>
      <c r="CD51" s="499">
        <f t="shared" si="15"/>
        <v>0</v>
      </c>
      <c r="CE51" s="499">
        <f t="shared" si="15"/>
        <v>0</v>
      </c>
      <c r="CF51" s="499">
        <f t="shared" si="15"/>
        <v>0</v>
      </c>
      <c r="CG51" s="499">
        <f t="shared" si="15"/>
        <v>0</v>
      </c>
      <c r="CH51" s="499">
        <f t="shared" si="15"/>
        <v>0</v>
      </c>
      <c r="CI51" s="499">
        <f t="shared" si="15"/>
        <v>0</v>
      </c>
      <c r="CJ51" s="499">
        <f t="shared" si="15"/>
        <v>0</v>
      </c>
      <c r="CK51" s="499">
        <f t="shared" si="15"/>
        <v>0</v>
      </c>
      <c r="CL51" s="499">
        <f t="shared" si="15"/>
        <v>0</v>
      </c>
      <c r="CM51" s="499">
        <f t="shared" si="15"/>
        <v>0</v>
      </c>
      <c r="CN51" s="499">
        <f t="shared" si="15"/>
        <v>0</v>
      </c>
      <c r="CO51" s="499">
        <f t="shared" si="15"/>
        <v>0</v>
      </c>
      <c r="CP51" s="499">
        <f t="shared" si="15"/>
        <v>0</v>
      </c>
      <c r="CQ51" s="499">
        <f t="shared" si="15"/>
        <v>0</v>
      </c>
      <c r="CR51" s="499">
        <f t="shared" si="15"/>
        <v>0</v>
      </c>
      <c r="CS51" s="499">
        <f t="shared" si="15"/>
        <v>0</v>
      </c>
      <c r="CT51" s="499">
        <f t="shared" si="15"/>
        <v>0</v>
      </c>
      <c r="CU51" s="499">
        <f t="shared" si="15"/>
        <v>0</v>
      </c>
      <c r="CV51" s="499">
        <f t="shared" si="15"/>
        <v>0</v>
      </c>
      <c r="CW51" s="499">
        <f t="shared" si="15"/>
        <v>0</v>
      </c>
      <c r="CX51" s="499">
        <f t="shared" si="15"/>
        <v>0</v>
      </c>
      <c r="CY51" s="502">
        <f t="shared" si="15"/>
        <v>0</v>
      </c>
    </row>
    <row r="52" spans="1:103" ht="15" customHeight="1" x14ac:dyDescent="0.35">
      <c r="A52" s="895" t="s">
        <v>4</v>
      </c>
      <c r="B52" s="288" t="s">
        <v>4</v>
      </c>
      <c r="C52" s="479">
        <f t="shared" ref="C52:C61" si="16">SUM(D52:CY52)</f>
        <v>0</v>
      </c>
      <c r="D52" s="503">
        <f>IF('Lookup Tables'!K3="VERSION_1",'Data entry'!$K$127,IF('Lookup Tables'!K3="VERSION_3",'Data entry'!K164,IF('Lookup Tables'!K3="VERSION_2",'Data entry'!K144,0)))</f>
        <v>0</v>
      </c>
      <c r="E52" s="491"/>
      <c r="F52" s="491"/>
      <c r="G52" s="491"/>
      <c r="H52" s="491"/>
      <c r="I52" s="491"/>
      <c r="J52" s="491"/>
      <c r="K52" s="491"/>
      <c r="L52" s="491"/>
      <c r="M52" s="491"/>
      <c r="N52" s="491"/>
      <c r="O52" s="491"/>
      <c r="P52" s="491"/>
      <c r="Q52" s="491"/>
      <c r="R52" s="491"/>
      <c r="S52" s="491"/>
      <c r="T52" s="491"/>
      <c r="U52" s="491"/>
      <c r="V52" s="491"/>
      <c r="W52" s="491"/>
      <c r="X52" s="491"/>
      <c r="Y52" s="491"/>
      <c r="Z52" s="491"/>
      <c r="AA52" s="491"/>
      <c r="AB52" s="491"/>
      <c r="AC52" s="491"/>
      <c r="AD52" s="491"/>
      <c r="AE52" s="491"/>
      <c r="AF52" s="491"/>
      <c r="AG52" s="491"/>
      <c r="AH52" s="491"/>
      <c r="AI52" s="491"/>
      <c r="AJ52" s="491"/>
      <c r="AK52" s="491"/>
      <c r="AL52" s="491"/>
      <c r="AM52" s="491"/>
      <c r="AN52" s="491"/>
      <c r="AO52" s="492"/>
      <c r="AP52" s="491"/>
      <c r="AQ52" s="491"/>
      <c r="AR52" s="491"/>
      <c r="AS52" s="491"/>
      <c r="AT52" s="491"/>
      <c r="AU52" s="491"/>
      <c r="AV52" s="491"/>
      <c r="AW52" s="491"/>
      <c r="AX52" s="491"/>
      <c r="AY52" s="491"/>
      <c r="AZ52" s="491"/>
      <c r="BA52" s="491"/>
      <c r="BB52" s="491"/>
      <c r="BC52" s="491"/>
      <c r="BD52" s="491"/>
      <c r="BE52" s="491"/>
      <c r="BF52" s="491"/>
      <c r="BG52" s="491"/>
      <c r="BH52" s="491"/>
      <c r="BI52" s="491"/>
      <c r="BJ52" s="491"/>
      <c r="BK52" s="492"/>
      <c r="BL52" s="491"/>
      <c r="BM52" s="491"/>
      <c r="BN52" s="491"/>
      <c r="BO52" s="491"/>
      <c r="BP52" s="491"/>
      <c r="BQ52" s="491"/>
      <c r="BR52" s="491"/>
      <c r="BS52" s="491"/>
      <c r="BT52" s="491"/>
      <c r="BU52" s="491"/>
      <c r="BV52" s="491"/>
      <c r="BW52" s="491"/>
      <c r="BX52" s="491"/>
      <c r="BY52" s="491"/>
      <c r="BZ52" s="491"/>
      <c r="CA52" s="492"/>
      <c r="CB52" s="491"/>
      <c r="CC52" s="491"/>
      <c r="CD52" s="491"/>
      <c r="CE52" s="491"/>
      <c r="CF52" s="491"/>
      <c r="CG52" s="491"/>
      <c r="CH52" s="491"/>
      <c r="CI52" s="491"/>
      <c r="CJ52" s="491"/>
      <c r="CK52" s="491"/>
      <c r="CL52" s="491"/>
      <c r="CM52" s="491"/>
      <c r="CN52" s="491"/>
      <c r="CO52" s="491"/>
      <c r="CP52" s="491"/>
      <c r="CQ52" s="491"/>
      <c r="CR52" s="491"/>
      <c r="CS52" s="491"/>
      <c r="CT52" s="491"/>
      <c r="CU52" s="491"/>
      <c r="CV52" s="491"/>
      <c r="CW52" s="491"/>
      <c r="CX52" s="491"/>
      <c r="CY52" s="493"/>
    </row>
    <row r="53" spans="1:103" ht="15" customHeight="1" x14ac:dyDescent="0.35">
      <c r="A53" s="895" t="s">
        <v>435</v>
      </c>
      <c r="B53" s="288" t="s">
        <v>27</v>
      </c>
      <c r="C53" s="479">
        <f t="shared" si="16"/>
        <v>0</v>
      </c>
      <c r="D53" s="485"/>
      <c r="E53" s="485"/>
      <c r="F53" s="485"/>
      <c r="G53" s="485"/>
      <c r="H53" s="485"/>
      <c r="I53" s="485"/>
      <c r="J53" s="485"/>
      <c r="K53" s="485"/>
      <c r="L53" s="485"/>
      <c r="M53" s="485"/>
      <c r="N53" s="485"/>
      <c r="O53" s="485"/>
      <c r="P53" s="485"/>
      <c r="Q53" s="485"/>
      <c r="R53" s="485"/>
      <c r="S53" s="485"/>
      <c r="T53" s="485"/>
      <c r="U53" s="484">
        <f>('Data entry'!$B$59*'Income data'!$G$10)</f>
        <v>0</v>
      </c>
      <c r="V53" s="288"/>
      <c r="W53" s="484">
        <f>('Data entry'!$B$61*'Income data'!$G$14)+('Data entry'!$B$65*'Income data'!$G$17)</f>
        <v>0</v>
      </c>
      <c r="X53" s="288"/>
      <c r="Y53" s="485"/>
      <c r="Z53" s="484">
        <f>IF(Z4&lt;'Data entry'!B13,('Data entry'!$B$59*'Income data'!$G$10),0)</f>
        <v>0</v>
      </c>
      <c r="AA53" s="288"/>
      <c r="AB53" s="484">
        <f>IF(AB4&lt;'Data entry'!B13,('Data entry'!$B$61*'Income data'!$G$14)+('Data entry'!$B$65*'Income data'!$G$18),0)</f>
        <v>0</v>
      </c>
      <c r="AC53" s="288"/>
      <c r="AD53" s="485"/>
      <c r="AE53" s="484">
        <f>IF(AE4&lt;'Data entry'!B13,('Data entry'!$B$59*'Income data'!$G$10),0)</f>
        <v>0</v>
      </c>
      <c r="AF53" s="481"/>
      <c r="AG53" s="484">
        <f>IF(AG4&lt;'Data entry'!B13,('Data entry'!$B$61*'Income data'!$G$14)+('Data entry'!$B$65*'Income data'!$G$19),0)</f>
        <v>0</v>
      </c>
      <c r="AH53" s="480">
        <f>IF(AH4&lt;'Data entry'!B13,'Data entry'!$B$60*'Income data'!$G$13,0)</f>
        <v>0</v>
      </c>
      <c r="AI53" s="485"/>
      <c r="AJ53" s="484">
        <f>IF(AJ4&lt;'Data entry'!B13,('Data entry'!$B$59*'Income data'!$G$10),0)</f>
        <v>0</v>
      </c>
      <c r="AK53" s="481"/>
      <c r="AL53" s="484">
        <f>IF(AL4&lt;'Data entry'!B13,('Data entry'!$B$61*'Income data'!$G$14)+('Data entry'!$B$65*'Income data'!$G$20),0)</f>
        <v>0</v>
      </c>
      <c r="AM53" s="480">
        <f>IF(AM4&lt;'Data entry'!B13,'Data entry'!$B$60*'Income data'!$G$13,0)</f>
        <v>0</v>
      </c>
      <c r="AN53" s="485"/>
      <c r="AO53" s="486"/>
      <c r="AP53" s="485"/>
      <c r="AQ53" s="484">
        <f>IF(AQ4&lt;'Data entry'!B13,('Data entry'!$B$61*'Income data'!$G$14)+('Data entry'!$B$65*'Income data'!$G$21),0)</f>
        <v>0</v>
      </c>
      <c r="AR53" s="480">
        <f>IF(AR$4&lt;'Data entry'!$B$13,'Data entry'!$B$60*'Income data'!$G$13,0)</f>
        <v>0</v>
      </c>
      <c r="AS53" s="485"/>
      <c r="AT53" s="485"/>
      <c r="AU53" s="485"/>
      <c r="AV53" s="484">
        <f>IF(AV4&lt;'Data entry'!B13,('Data entry'!$B$61*'Income data'!$G$14)+('Data entry'!$B$65*'Income data'!$G$22),0)</f>
        <v>0</v>
      </c>
      <c r="AW53" s="480">
        <f>IF(AW$4&lt;'Data entry'!$B$13,'Data entry'!$B$60*'Income data'!$G$13,0)</f>
        <v>0</v>
      </c>
      <c r="AX53" s="485"/>
      <c r="AY53" s="485"/>
      <c r="AZ53" s="485"/>
      <c r="BA53" s="484">
        <f>IF(BA4&lt;'Data entry'!B13,('Data entry'!$B$61*'Income data'!$G$14)+('Data entry'!$B$65*'Income data'!$G$23),0)</f>
        <v>0</v>
      </c>
      <c r="BB53" s="480">
        <f>IF(BB$4&lt;'Data entry'!$B$13,'Data entry'!$B$60*'Income data'!$G$13,0)</f>
        <v>0</v>
      </c>
      <c r="BC53" s="485"/>
      <c r="BD53" s="485"/>
      <c r="BE53" s="485"/>
      <c r="BF53" s="484">
        <f>IF(BF4&lt;'Data entry'!B13,('Data entry'!$B$61*'Income data'!$G$14)+('Data entry'!$B$65*'Income data'!$G$24),0)</f>
        <v>0</v>
      </c>
      <c r="BG53" s="484">
        <f>IF(BG4&lt;'Data entry'!$B13,('Data entry'!$B$59*'Income data'!$G$10+'Data entry'!$B$60*'Income data'!$G$13),0)</f>
        <v>0</v>
      </c>
      <c r="BH53" s="481"/>
      <c r="BI53" s="485"/>
      <c r="BJ53" s="485"/>
      <c r="BK53" s="488">
        <f>IF(BK4&lt;'Data entry'!B13,('Data entry'!B65*'Income data'!G25),0)</f>
        <v>0</v>
      </c>
      <c r="BL53" s="484">
        <f>IF(BL4&lt;'Data entry'!$B13,('Data entry'!$B$59*'Income data'!$G$10+'Data entry'!$B$60*'Income data'!$G$13),0)</f>
        <v>0</v>
      </c>
      <c r="BM53" s="481"/>
      <c r="BN53" s="485"/>
      <c r="BO53" s="485"/>
      <c r="BP53" s="484">
        <f>IF(BP4&lt;'Data entry'!B13,('Data entry'!B65*'Income data'!G26),0)</f>
        <v>0</v>
      </c>
      <c r="BQ53" s="484">
        <f>IF(BQ4&lt;'Data entry'!$B13,('Data entry'!$B$59*'Income data'!$G$10+'Data entry'!$B$60*'Income data'!$G$13),0)</f>
        <v>0</v>
      </c>
      <c r="BR53" s="481"/>
      <c r="BS53" s="485"/>
      <c r="BT53" s="485"/>
      <c r="BU53" s="484">
        <f>IF(BU4&lt;'Data entry'!B13-1,('Data entry'!B65*'Income data'!G27),0)</f>
        <v>0</v>
      </c>
      <c r="BV53" s="484">
        <f>IF(BV4&lt;'Data entry'!$B13-1,('Data entry'!$B$59*'Income data'!$G$10+'Data entry'!$B$60*'Income data'!$G$13),0)</f>
        <v>0</v>
      </c>
      <c r="BW53" s="481"/>
      <c r="BX53" s="485"/>
      <c r="BY53" s="485"/>
      <c r="BZ53" s="507">
        <f>IF(BZ4&lt;'Data entry'!B13,('Data entry'!B65*'Income data'!G28), 0)</f>
        <v>0</v>
      </c>
      <c r="CA53" s="483"/>
      <c r="CB53" s="485"/>
      <c r="CC53" s="485"/>
      <c r="CD53" s="485"/>
      <c r="CE53" s="484">
        <f>IF(CE4&lt;'Data entry'!B13,('Data entry'!$B$61*'Income data'!$G$14)+('Data entry'!B65*'Income data'!G29),0)</f>
        <v>0</v>
      </c>
      <c r="CF53" s="485"/>
      <c r="CG53" s="485"/>
      <c r="CH53" s="485"/>
      <c r="CI53" s="485"/>
      <c r="CJ53" s="484">
        <f>IF(CJ4&lt;'Data entry'!B13,('Data entry'!$B$61*'Income data'!$G$14), 0)</f>
        <v>0</v>
      </c>
      <c r="CK53" s="485"/>
      <c r="CL53" s="485"/>
      <c r="CM53" s="485"/>
      <c r="CN53" s="485"/>
      <c r="CO53" s="484">
        <f>IF(CO4&lt;'Data entry'!B13,('Data entry'!$B$61*'Income data'!$G$14), 0)</f>
        <v>0</v>
      </c>
      <c r="CP53" s="485"/>
      <c r="CQ53" s="485"/>
      <c r="CR53" s="485"/>
      <c r="CS53" s="484">
        <f>IF(CS4&lt;'Data entry'!B13,('Data entry'!$B$59*'Income data'!$G$10), 0)</f>
        <v>0</v>
      </c>
      <c r="CT53" s="484">
        <f>IF(CT4&lt;'Data entry'!B13,('Data entry'!$B$61*'Income data'!$G$14), 0)</f>
        <v>0</v>
      </c>
      <c r="CU53" s="481"/>
      <c r="CV53" s="485"/>
      <c r="CW53" s="485"/>
      <c r="CX53" s="485"/>
      <c r="CY53" s="507">
        <f>IF(CY4&lt;'Data entry'!H13,('Data entry'!$B$61*'Income data'!$G$14), 0)</f>
        <v>0</v>
      </c>
    </row>
    <row r="54" spans="1:103" ht="15" customHeight="1" x14ac:dyDescent="0.35">
      <c r="A54" s="895" t="s">
        <v>435</v>
      </c>
      <c r="B54" s="288" t="s">
        <v>28</v>
      </c>
      <c r="C54" s="479">
        <f t="shared" si="16"/>
        <v>0</v>
      </c>
      <c r="D54" s="481"/>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c r="AL54" s="485"/>
      <c r="AM54" s="485"/>
      <c r="AN54" s="485"/>
      <c r="AO54" s="488">
        <f>IF(AO4&lt;'Data entry'!B13,'Data entry'!$I$59,0)</f>
        <v>0</v>
      </c>
      <c r="AP54" s="485"/>
      <c r="AQ54" s="485"/>
      <c r="AR54" s="481"/>
      <c r="AS54" s="485"/>
      <c r="AT54" s="485"/>
      <c r="AU54" s="485"/>
      <c r="AV54" s="485"/>
      <c r="AW54" s="485"/>
      <c r="AX54" s="485"/>
      <c r="AY54" s="485"/>
      <c r="AZ54" s="485"/>
      <c r="BA54" s="485"/>
      <c r="BB54" s="485"/>
      <c r="BC54" s="485"/>
      <c r="BD54" s="485"/>
      <c r="BE54" s="485"/>
      <c r="BF54" s="485"/>
      <c r="BG54" s="485"/>
      <c r="BH54" s="485"/>
      <c r="BI54" s="485"/>
      <c r="BJ54" s="485"/>
      <c r="BK54" s="488">
        <f>IF(BK4&lt;'Data entry'!B13,'Data entry'!I61,0)</f>
        <v>0</v>
      </c>
      <c r="BL54" s="288"/>
      <c r="BM54" s="485"/>
      <c r="BN54" s="485"/>
      <c r="BO54" s="485"/>
      <c r="BP54" s="485"/>
      <c r="BQ54" s="485"/>
      <c r="BR54" s="485"/>
      <c r="BS54" s="485"/>
      <c r="BT54" s="485"/>
      <c r="BU54" s="485"/>
      <c r="BV54" s="485"/>
      <c r="BW54" s="485"/>
      <c r="BX54" s="485"/>
      <c r="BY54" s="485"/>
      <c r="BZ54" s="485"/>
      <c r="CA54" s="488">
        <f>IF(CA4&lt;'Data entry'!B13,'Data entry'!I59+'Data entry'!I60,0)</f>
        <v>0</v>
      </c>
      <c r="CB54" s="288"/>
      <c r="CC54" s="485"/>
      <c r="CD54" s="485"/>
      <c r="CE54" s="485"/>
      <c r="CF54" s="481"/>
      <c r="CG54" s="485"/>
      <c r="CH54" s="485"/>
      <c r="CI54" s="485"/>
      <c r="CJ54" s="485"/>
      <c r="CK54" s="485"/>
      <c r="CL54" s="485"/>
      <c r="CM54" s="485"/>
      <c r="CN54" s="485"/>
      <c r="CO54" s="485"/>
      <c r="CP54" s="485"/>
      <c r="CQ54" s="485"/>
      <c r="CR54" s="485"/>
      <c r="CS54" s="485"/>
      <c r="CT54" s="485"/>
      <c r="CU54" s="485"/>
      <c r="CV54" s="485"/>
      <c r="CW54" s="485"/>
      <c r="CX54" s="485"/>
      <c r="CY54" s="487"/>
    </row>
    <row r="55" spans="1:103" ht="15" customHeight="1" x14ac:dyDescent="0.35">
      <c r="A55" s="895" t="s">
        <v>435</v>
      </c>
      <c r="B55" s="288" t="s">
        <v>99</v>
      </c>
      <c r="C55" s="479">
        <f t="shared" si="16"/>
        <v>0</v>
      </c>
      <c r="D55" s="480">
        <f>IF(D4+1='Data entry'!$B13,'Data entry'!$K$69,0)</f>
        <v>0</v>
      </c>
      <c r="E55" s="480">
        <f>IF(E4+1='Data entry'!$B13,'Data entry'!$K$69,0)</f>
        <v>0</v>
      </c>
      <c r="F55" s="480">
        <f>IF(F4+1='Data entry'!$B13,'Data entry'!$K$69,0)</f>
        <v>0</v>
      </c>
      <c r="G55" s="480">
        <f>IF(G4+1='Data entry'!$B13,'Data entry'!$K$69,0)</f>
        <v>0</v>
      </c>
      <c r="H55" s="480">
        <f>IF(H4+1='Data entry'!$B13,'Data entry'!$K$69,0)</f>
        <v>0</v>
      </c>
      <c r="I55" s="480">
        <f>IF(I4+1='Data entry'!$B13,'Data entry'!$K$69,0)</f>
        <v>0</v>
      </c>
      <c r="J55" s="480">
        <f>IF(J4+1='Data entry'!$B13,'Data entry'!$K$69,0)</f>
        <v>0</v>
      </c>
      <c r="K55" s="480">
        <f>IF(K4+1='Data entry'!$B13,'Data entry'!$K$69,0)</f>
        <v>0</v>
      </c>
      <c r="L55" s="480">
        <f>IF(L4+1='Data entry'!$B13,'Data entry'!$K$69,0)</f>
        <v>0</v>
      </c>
      <c r="M55" s="480">
        <f>IF(M4+1='Data entry'!$B13,'Data entry'!$K$69,0)</f>
        <v>0</v>
      </c>
      <c r="N55" s="480">
        <f>IF(N4+1='Data entry'!$B13,'Data entry'!$K$69,0)</f>
        <v>0</v>
      </c>
      <c r="O55" s="480">
        <f>IF(O4+1='Data entry'!$B13,'Data entry'!$K$69,0)</f>
        <v>0</v>
      </c>
      <c r="P55" s="480">
        <f>IF(P4+1='Data entry'!$B13,'Data entry'!$K$69,0)</f>
        <v>0</v>
      </c>
      <c r="Q55" s="480">
        <f>IF(Q4+1='Data entry'!$B13,'Data entry'!$K$69,0)</f>
        <v>0</v>
      </c>
      <c r="R55" s="480">
        <f>IF(R4+1='Data entry'!$B13,'Data entry'!$K$69,0)</f>
        <v>0</v>
      </c>
      <c r="S55" s="480">
        <f>IF(S4+1='Data entry'!$B13,'Data entry'!$K$69,0)</f>
        <v>0</v>
      </c>
      <c r="T55" s="480">
        <f>IF(T4+1='Data entry'!$B13,'Data entry'!$K$69,0)</f>
        <v>0</v>
      </c>
      <c r="U55" s="480">
        <f>IF(U4+1='Data entry'!$B13,'Data entry'!$K$69,0)</f>
        <v>0</v>
      </c>
      <c r="V55" s="480">
        <f>IF(V4+1='Data entry'!$B13,'Data entry'!$K$69,0)</f>
        <v>0</v>
      </c>
      <c r="W55" s="480">
        <f>IF(W4+1='Data entry'!$B13,'Data entry'!$K$69,0)</f>
        <v>0</v>
      </c>
      <c r="X55" s="480">
        <f>IF(X4+1='Data entry'!$B13,'Data entry'!$K$69,0)</f>
        <v>0</v>
      </c>
      <c r="Y55" s="480">
        <f>IF(Y4+1='Data entry'!$B13,'Data entry'!$K$69,0)</f>
        <v>0</v>
      </c>
      <c r="Z55" s="480">
        <f>IF(Z4+1='Data entry'!$B13,'Data entry'!$K$69,0)</f>
        <v>0</v>
      </c>
      <c r="AA55" s="480">
        <f>IF(AA4+1='Data entry'!$B13,'Data entry'!$K$69,0)</f>
        <v>0</v>
      </c>
      <c r="AB55" s="480">
        <f>IF(AB4+1='Data entry'!$B13,'Data entry'!$K$69,0)</f>
        <v>0</v>
      </c>
      <c r="AC55" s="480">
        <f>IF(AC4+1='Data entry'!$B13,'Data entry'!$K$69,0)</f>
        <v>0</v>
      </c>
      <c r="AD55" s="480">
        <f>IF(AD4+1='Data entry'!$B13,'Data entry'!$K$69,0)</f>
        <v>0</v>
      </c>
      <c r="AE55" s="480">
        <f>IF(AE4+1='Data entry'!$B13,'Data entry'!$K$69,0)</f>
        <v>0</v>
      </c>
      <c r="AF55" s="480">
        <f>IF(AF4+1='Data entry'!$B13,'Data entry'!$K$69,0)</f>
        <v>0</v>
      </c>
      <c r="AG55" s="480">
        <f>IF(AG4+1='Data entry'!$B13,'Data entry'!$K$69,0)</f>
        <v>0</v>
      </c>
      <c r="AH55" s="480">
        <f>IF(AH4+1='Data entry'!$B13,'Data entry'!$K$69,0)</f>
        <v>0</v>
      </c>
      <c r="AI55" s="480">
        <f>IF(AI4+1='Data entry'!$B13,'Data entry'!$K$69,0)</f>
        <v>0</v>
      </c>
      <c r="AJ55" s="480">
        <f>IF(AJ4+1='Data entry'!$B13,'Data entry'!$K$69,0)</f>
        <v>0</v>
      </c>
      <c r="AK55" s="480">
        <f>IF(AK4+1='Data entry'!$B13,'Data entry'!$K$69,0)</f>
        <v>0</v>
      </c>
      <c r="AL55" s="480">
        <f>IF(AL4+1='Data entry'!$B13,'Data entry'!$K$69,0)</f>
        <v>0</v>
      </c>
      <c r="AM55" s="480">
        <f>IF(AM4+1='Data entry'!$B13,'Data entry'!$K$69,0)</f>
        <v>0</v>
      </c>
      <c r="AN55" s="480">
        <f>IF(AN4+1='Data entry'!$B13,'Data entry'!$K$69,0)</f>
        <v>0</v>
      </c>
      <c r="AO55" s="526">
        <f>IF(AO4+1='Data entry'!$B13,'Data entry'!$K$69,0)</f>
        <v>0</v>
      </c>
      <c r="AP55" s="480">
        <f>IF(AP4+1='Data entry'!$B13,'Data entry'!$K$69,0)</f>
        <v>0</v>
      </c>
      <c r="AQ55" s="480">
        <f>IF(AQ4+1='Data entry'!$B13,'Data entry'!$K$69,0)</f>
        <v>0</v>
      </c>
      <c r="AR55" s="480">
        <f>IF(AR4+1='Data entry'!$B13,'Data entry'!$K$69,0)</f>
        <v>0</v>
      </c>
      <c r="AS55" s="480">
        <f>IF(AS4+1='Data entry'!$B13,'Data entry'!$K$69,0)</f>
        <v>0</v>
      </c>
      <c r="AT55" s="480">
        <f>IF(AT4+1='Data entry'!$B13,'Data entry'!$K$69,0)</f>
        <v>0</v>
      </c>
      <c r="AU55" s="480">
        <f>IF(AU4+1='Data entry'!$B13,'Data entry'!$K$69,0)</f>
        <v>0</v>
      </c>
      <c r="AV55" s="480">
        <f>IF(AV4+1='Data entry'!$B13,'Data entry'!$K$69,0)</f>
        <v>0</v>
      </c>
      <c r="AW55" s="480">
        <f>IF(AW4+1='Data entry'!$B13,'Data entry'!$K$69,0)</f>
        <v>0</v>
      </c>
      <c r="AX55" s="480">
        <f>IF(AX4+1='Data entry'!$B13,'Data entry'!$K$69,0)</f>
        <v>0</v>
      </c>
      <c r="AY55" s="480">
        <f>IF(AY4+1='Data entry'!$B13,'Data entry'!$K$69,0)</f>
        <v>0</v>
      </c>
      <c r="AZ55" s="480">
        <f>IF(AZ4+1='Data entry'!$B13,'Data entry'!$K$69,0)</f>
        <v>0</v>
      </c>
      <c r="BA55" s="480">
        <f>IF(BA4+1='Data entry'!$B13,'Data entry'!$K$69,0)</f>
        <v>0</v>
      </c>
      <c r="BB55" s="480">
        <f>IF(BB4+1='Data entry'!$B13,'Data entry'!$K$69,0)</f>
        <v>0</v>
      </c>
      <c r="BC55" s="480">
        <f>IF(BC4+1='Data entry'!$B13,'Data entry'!$K$69,0)</f>
        <v>0</v>
      </c>
      <c r="BD55" s="480">
        <f>IF(BD4+1='Data entry'!$B13,'Data entry'!$K$69,0)</f>
        <v>0</v>
      </c>
      <c r="BE55" s="480">
        <f>IF(BE4+1='Data entry'!$B13,'Data entry'!$K$69,0)</f>
        <v>0</v>
      </c>
      <c r="BF55" s="480">
        <f>IF(BF4+1='Data entry'!$B13,'Data entry'!$K$69,0)</f>
        <v>0</v>
      </c>
      <c r="BG55" s="480">
        <f>IF(BG4+1='Data entry'!$B13,'Data entry'!$K$69,0)</f>
        <v>0</v>
      </c>
      <c r="BH55" s="480">
        <f>IF(BH4+1='Data entry'!$B13,'Data entry'!$K$69,0)</f>
        <v>0</v>
      </c>
      <c r="BI55" s="480">
        <f>IF(BI4+1='Data entry'!$B13,'Data entry'!$K$69,0)</f>
        <v>0</v>
      </c>
      <c r="BJ55" s="480">
        <f>IF(BJ4+1='Data entry'!$B13,'Data entry'!$K$69,0)</f>
        <v>0</v>
      </c>
      <c r="BK55" s="526">
        <f>IF(BK4+1='Data entry'!$B13,'Data entry'!$K$69,0)</f>
        <v>0</v>
      </c>
      <c r="BL55" s="480">
        <f>IF(BL4+1='Data entry'!$B13,'Data entry'!$K$69,0)</f>
        <v>0</v>
      </c>
      <c r="BM55" s="480">
        <f>IF(BM4+1='Data entry'!$B13,'Data entry'!$K$69,0)</f>
        <v>0</v>
      </c>
      <c r="BN55" s="480">
        <f>IF(BN4+1='Data entry'!$B13,'Data entry'!$K$69,0)</f>
        <v>0</v>
      </c>
      <c r="BO55" s="480">
        <f>IF(BO4+1='Data entry'!$B13,'Data entry'!$K$69,0)</f>
        <v>0</v>
      </c>
      <c r="BP55" s="480">
        <f>IF(BP4+1='Data entry'!$B13,'Data entry'!$K$69,0)</f>
        <v>0</v>
      </c>
      <c r="BQ55" s="480">
        <f>IF(BQ4+1='Data entry'!$B13,'Data entry'!$K$69,0)</f>
        <v>0</v>
      </c>
      <c r="BR55" s="480">
        <f>IF(BR4+1='Data entry'!$B13,'Data entry'!$K$69,0)</f>
        <v>0</v>
      </c>
      <c r="BS55" s="480">
        <f>IF(BS4+1='Data entry'!$B13,'Data entry'!$K$69,0)</f>
        <v>0</v>
      </c>
      <c r="BT55" s="480">
        <f>IF(BT4+1='Data entry'!$B13,'Data entry'!$K$69,0)</f>
        <v>0</v>
      </c>
      <c r="BU55" s="480">
        <f>IF(BU4+1='Data entry'!$B13,'Data entry'!$K$69,0)</f>
        <v>0</v>
      </c>
      <c r="BV55" s="480">
        <f>IF(BV4+1='Data entry'!$B13,'Data entry'!$K$69,0)</f>
        <v>0</v>
      </c>
      <c r="BW55" s="480">
        <f>IF(BW4+1='Data entry'!$B13,'Data entry'!$K$69,0)</f>
        <v>0</v>
      </c>
      <c r="BX55" s="480">
        <f>IF(BX4+1='Data entry'!$B13,'Data entry'!$K$69,0)</f>
        <v>0</v>
      </c>
      <c r="BY55" s="480">
        <f>IF(BY4+1='Data entry'!$B13,'Data entry'!$K$69,0)</f>
        <v>0</v>
      </c>
      <c r="BZ55" s="480">
        <f>IF(BZ4+1='Data entry'!$B13,'Data entry'!$K$69,0)</f>
        <v>0</v>
      </c>
      <c r="CA55" s="526">
        <f>IF(CA4+1='Data entry'!$B13,'Data entry'!$K$69,0)</f>
        <v>0</v>
      </c>
      <c r="CB55" s="480">
        <f>IF(CB4+1='Data entry'!$B13,'Data entry'!$K$69,0)</f>
        <v>0</v>
      </c>
      <c r="CC55" s="480">
        <f>IF(CC4+1='Data entry'!$B13,'Data entry'!$K$69,0)</f>
        <v>0</v>
      </c>
      <c r="CD55" s="480">
        <f>IF(CD4+1='Data entry'!$B13,'Data entry'!$K$69,0)</f>
        <v>0</v>
      </c>
      <c r="CE55" s="480">
        <f>IF(CE4+1='Data entry'!$B13,'Data entry'!$K$69,0)</f>
        <v>0</v>
      </c>
      <c r="CF55" s="480">
        <f>IF(CF4+1='Data entry'!$B13,'Data entry'!$K$69,0)</f>
        <v>0</v>
      </c>
      <c r="CG55" s="480">
        <f>IF(CG4+1='Data entry'!$B13,'Data entry'!$K$69,0)</f>
        <v>0</v>
      </c>
      <c r="CH55" s="480">
        <f>IF(CH4+1='Data entry'!$B13,'Data entry'!$K$69,0)</f>
        <v>0</v>
      </c>
      <c r="CI55" s="480">
        <f>IF(CI4+1='Data entry'!$B13,'Data entry'!$K$69,0)</f>
        <v>0</v>
      </c>
      <c r="CJ55" s="480">
        <f>IF(CJ4+1='Data entry'!$B13,'Data entry'!$K$69,0)</f>
        <v>0</v>
      </c>
      <c r="CK55" s="480">
        <f>IF(CK4+1='Data entry'!$B13,'Data entry'!$K$69,0)</f>
        <v>0</v>
      </c>
      <c r="CL55" s="480">
        <f>IF(CL4+1='Data entry'!$B13,'Data entry'!$K$69,0)</f>
        <v>0</v>
      </c>
      <c r="CM55" s="480">
        <f>IF(CM4+1='Data entry'!$B13,'Data entry'!$K$69,0)</f>
        <v>0</v>
      </c>
      <c r="CN55" s="480">
        <f>IF(CN4+1='Data entry'!$B13,'Data entry'!$K$69,0)</f>
        <v>0</v>
      </c>
      <c r="CO55" s="480">
        <f>IF(CO4+1='Data entry'!$B13,'Data entry'!$K$69,0)</f>
        <v>0</v>
      </c>
      <c r="CP55" s="480">
        <f>IF(CP4+1='Data entry'!$B13,'Data entry'!$K$69,0)</f>
        <v>0</v>
      </c>
      <c r="CQ55" s="480">
        <f>IF(CQ4+1='Data entry'!$B13,'Data entry'!$K$69,0)</f>
        <v>0</v>
      </c>
      <c r="CR55" s="480">
        <f>IF(CR4+1='Data entry'!$B13,'Data entry'!$K$69,0)</f>
        <v>0</v>
      </c>
      <c r="CS55" s="480">
        <f>IF(CS4+1='Data entry'!$B13,'Data entry'!$K$69,0)</f>
        <v>0</v>
      </c>
      <c r="CT55" s="480">
        <f>IF(CT4+1='Data entry'!$B13,'Data entry'!$K$69,0)</f>
        <v>0</v>
      </c>
      <c r="CU55" s="480">
        <f>IF(CU4+1='Data entry'!$B13,'Data entry'!$K$69,0)</f>
        <v>0</v>
      </c>
      <c r="CV55" s="480">
        <f>IF(CV4+1='Data entry'!$B13,'Data entry'!$K$69,0)</f>
        <v>0</v>
      </c>
      <c r="CW55" s="480">
        <f>IF(CW4+1='Data entry'!$B13,'Data entry'!$K$69,0)</f>
        <v>0</v>
      </c>
      <c r="CX55" s="480">
        <f>IF(CX4+1='Data entry'!$B13,'Data entry'!$K$69,0)</f>
        <v>0</v>
      </c>
      <c r="CY55" s="527">
        <f>IF(CY4+1='Data entry'!$B13,'Data entry'!$K$69,0)</f>
        <v>0</v>
      </c>
    </row>
    <row r="56" spans="1:103" ht="15" customHeight="1" x14ac:dyDescent="0.35">
      <c r="A56" s="895" t="s">
        <v>39</v>
      </c>
      <c r="B56" s="288" t="str">
        <f>'Data entry'!A90</f>
        <v>Other regular payments/sponsorships/donations (specify)</v>
      </c>
      <c r="C56" s="479">
        <f t="shared" si="16"/>
        <v>0</v>
      </c>
      <c r="D56" s="484">
        <f>IF(AND(D$4&lt;'Data entry'!$B$13,D$4&lt;'Data entry'!$C$90),'Data entry'!$B$90,0)</f>
        <v>0</v>
      </c>
      <c r="E56" s="484">
        <f>IF(AND(E$4&lt;'Data entry'!$B$13,E$4&lt;'Data entry'!$C$90),'Data entry'!$B$90,0)</f>
        <v>0</v>
      </c>
      <c r="F56" s="484">
        <f>IF(AND(F$4&lt;'Data entry'!$B$13,F$4&lt;'Data entry'!$C$90),'Data entry'!$B$90,0)</f>
        <v>0</v>
      </c>
      <c r="G56" s="484">
        <f>IF(AND(G$4&lt;'Data entry'!$B$13,G$4&lt;'Data entry'!$C$90),'Data entry'!$B$90,0)</f>
        <v>0</v>
      </c>
      <c r="H56" s="484">
        <f>IF(AND(H$4&lt;'Data entry'!$B$13,H$4&lt;'Data entry'!$C$90),'Data entry'!$B$90,0)</f>
        <v>0</v>
      </c>
      <c r="I56" s="484">
        <f>IF(AND(I$4&lt;'Data entry'!$B$13,I$4&lt;'Data entry'!$C$90),'Data entry'!$B$90,0)</f>
        <v>0</v>
      </c>
      <c r="J56" s="484">
        <f>IF(AND(J$4&lt;'Data entry'!$B$13,J$4&lt;'Data entry'!$C$90),'Data entry'!$B$90,0)</f>
        <v>0</v>
      </c>
      <c r="K56" s="484">
        <f>IF(AND(K$4&lt;'Data entry'!$B$13,K$4&lt;'Data entry'!$C$90),'Data entry'!$B$90,0)</f>
        <v>0</v>
      </c>
      <c r="L56" s="484">
        <f>IF(AND(L$4&lt;'Data entry'!$B$13,L$4&lt;'Data entry'!$C$90),'Data entry'!$B$90,0)</f>
        <v>0</v>
      </c>
      <c r="M56" s="484">
        <f>IF(AND(M$4&lt;'Data entry'!$B$13,M$4&lt;'Data entry'!$C$90),'Data entry'!$B$90,0)</f>
        <v>0</v>
      </c>
      <c r="N56" s="484">
        <f>IF(AND(N$4&lt;'Data entry'!$B$13,N$4&lt;'Data entry'!$C$90),'Data entry'!$B$90,0)</f>
        <v>0</v>
      </c>
      <c r="O56" s="484">
        <f>IF(AND(O$4&lt;'Data entry'!$B$13,O$4&lt;'Data entry'!$C$90),'Data entry'!$B$90,0)</f>
        <v>0</v>
      </c>
      <c r="P56" s="484">
        <f>IF(AND(P$4&lt;'Data entry'!$B$13,P$4&lt;'Data entry'!$C$90),'Data entry'!$B$90,0)</f>
        <v>0</v>
      </c>
      <c r="Q56" s="484">
        <f>IF(AND(Q$4&lt;'Data entry'!$B$13,Q$4&lt;'Data entry'!$C$90),'Data entry'!$B$90,0)</f>
        <v>0</v>
      </c>
      <c r="R56" s="484">
        <f>IF(AND(R$4&lt;'Data entry'!$B$13,R$4&lt;'Data entry'!$C$90),'Data entry'!$B$90,0)</f>
        <v>0</v>
      </c>
      <c r="S56" s="484">
        <f>IF(AND(S$4&lt;'Data entry'!$B$13,S$4&lt;'Data entry'!$C$90),'Data entry'!$B$90,0)</f>
        <v>0</v>
      </c>
      <c r="T56" s="484">
        <f>IF(AND(T$4&lt;'Data entry'!$B$13,T$4&lt;'Data entry'!$C$90),'Data entry'!$B$90,0)</f>
        <v>0</v>
      </c>
      <c r="U56" s="484">
        <f>IF(AND(U$4&lt;'Data entry'!$B$13,U$4&lt;'Data entry'!$C$90),'Data entry'!$B$90,0)</f>
        <v>0</v>
      </c>
      <c r="V56" s="484">
        <f>IF(AND(V$4&lt;'Data entry'!$B$13,V$4&lt;'Data entry'!$C$90),'Data entry'!$B$90,0)</f>
        <v>0</v>
      </c>
      <c r="W56" s="484">
        <f>IF(AND(W$4&lt;'Data entry'!$B$13,W$4&lt;'Data entry'!$C$90),'Data entry'!$B$90,0)</f>
        <v>0</v>
      </c>
      <c r="X56" s="484">
        <f>IF(AND(X$4&lt;'Data entry'!$B$13,X$4&lt;'Data entry'!$C$90),'Data entry'!$B$90,0)</f>
        <v>0</v>
      </c>
      <c r="Y56" s="484">
        <f>IF(AND(Y$4&lt;'Data entry'!$B$13,Y$4&lt;'Data entry'!$C$90),'Data entry'!$B$90,0)</f>
        <v>0</v>
      </c>
      <c r="Z56" s="484">
        <f>IF(AND(Z$4&lt;'Data entry'!$B$13,Z$4&lt;'Data entry'!$C$90),'Data entry'!$B$90,0)</f>
        <v>0</v>
      </c>
      <c r="AA56" s="484">
        <f>IF(AND(AA$4&lt;'Data entry'!$B$13,AA$4&lt;'Data entry'!$C$90),'Data entry'!$B$90,0)</f>
        <v>0</v>
      </c>
      <c r="AB56" s="484">
        <f>IF(AND(AB$4&lt;'Data entry'!$B$13,AB$4&lt;'Data entry'!$C$90),'Data entry'!$B$90,0)</f>
        <v>0</v>
      </c>
      <c r="AC56" s="484">
        <f>IF(AND(AC$4&lt;'Data entry'!$B$13,AC$4&lt;'Data entry'!$C$90),'Data entry'!$B$90,0)</f>
        <v>0</v>
      </c>
      <c r="AD56" s="484">
        <f>IF(AND(AD$4&lt;'Data entry'!$B$13,AD$4&lt;'Data entry'!$C$90),'Data entry'!$B$90,0)</f>
        <v>0</v>
      </c>
      <c r="AE56" s="484">
        <f>IF(AND(AE$4&lt;'Data entry'!$B$13,AE$4&lt;'Data entry'!$C$90),'Data entry'!$B$90,0)</f>
        <v>0</v>
      </c>
      <c r="AF56" s="484">
        <f>IF(AND(AF$4&lt;'Data entry'!$B$13,AF$4&lt;'Data entry'!$C$90),'Data entry'!$B$90,0)</f>
        <v>0</v>
      </c>
      <c r="AG56" s="484">
        <f>IF(AND(AG$4&lt;'Data entry'!$B$13,AG$4&lt;'Data entry'!$C$90),'Data entry'!$B$90,0)</f>
        <v>0</v>
      </c>
      <c r="AH56" s="484">
        <f>IF(AND(AH$4&lt;'Data entry'!$B$13,AH$4&lt;'Data entry'!$C$90),'Data entry'!$B$90,0)</f>
        <v>0</v>
      </c>
      <c r="AI56" s="484">
        <f>IF(AND(AI$4&lt;'Data entry'!$B$13,AI$4&lt;'Data entry'!$C$90),'Data entry'!$B$90,0)</f>
        <v>0</v>
      </c>
      <c r="AJ56" s="484">
        <f>IF(AND(AJ$4&lt;'Data entry'!$B$13,AJ$4&lt;'Data entry'!$C$90),'Data entry'!$B$90,0)</f>
        <v>0</v>
      </c>
      <c r="AK56" s="484">
        <f>IF(AND(AK$4&lt;'Data entry'!$B$13,AK$4&lt;'Data entry'!$C$90),'Data entry'!$B$90,0)</f>
        <v>0</v>
      </c>
      <c r="AL56" s="484">
        <f>IF(AND(AL$4&lt;'Data entry'!$B$13,AL$4&lt;'Data entry'!$C$90),'Data entry'!$B$90,0)</f>
        <v>0</v>
      </c>
      <c r="AM56" s="484">
        <f>IF(AND(AM$4&lt;'Data entry'!$B$13,AM$4&lt;'Data entry'!$C$90),'Data entry'!$B$90,0)</f>
        <v>0</v>
      </c>
      <c r="AN56" s="484">
        <f>IF(AND(AN$4&lt;'Data entry'!$B$13,AN$4&lt;'Data entry'!$C$90),'Data entry'!$B$90,0)</f>
        <v>0</v>
      </c>
      <c r="AO56" s="488">
        <f>IF(AND(AO$4&lt;'Data entry'!$B$13,AO$4&lt;'Data entry'!$C$90),'Data entry'!$B$90,0)</f>
        <v>0</v>
      </c>
      <c r="AP56" s="484">
        <f>IF(AND(AP$4&lt;'Data entry'!$B$13,AP$4&lt;'Data entry'!$C$90),'Data entry'!$B$90,0)</f>
        <v>0</v>
      </c>
      <c r="AQ56" s="484">
        <f>IF(AND(AQ$4&lt;'Data entry'!$B$13,AQ$4&lt;'Data entry'!$C$90),'Data entry'!$B$90,0)</f>
        <v>0</v>
      </c>
      <c r="AR56" s="484">
        <f>IF(AND(AR$4&lt;'Data entry'!$B$13,AR$4&lt;'Data entry'!$C$90),'Data entry'!$B$90,0)</f>
        <v>0</v>
      </c>
      <c r="AS56" s="484">
        <f>IF(AND(AS$4&lt;'Data entry'!$B$13,AS$4&lt;'Data entry'!$C$90),'Data entry'!$B$90,0)</f>
        <v>0</v>
      </c>
      <c r="AT56" s="484">
        <f>IF(AND(AT$4&lt;'Data entry'!$B$13,AT$4&lt;'Data entry'!$C$90),'Data entry'!$B$90,0)</f>
        <v>0</v>
      </c>
      <c r="AU56" s="484">
        <f>IF(AND(AU$4&lt;'Data entry'!$B$13,AU$4&lt;'Data entry'!$C$90),'Data entry'!$B$90,0)</f>
        <v>0</v>
      </c>
      <c r="AV56" s="484">
        <f>IF(AND(AV$4&lt;'Data entry'!$B$13,AV$4&lt;'Data entry'!$C$90),'Data entry'!$B$90,0)</f>
        <v>0</v>
      </c>
      <c r="AW56" s="484">
        <f>IF(AND(AW$4&lt;'Data entry'!$B$13,AW$4&lt;'Data entry'!$C$90),'Data entry'!$B$90,0)</f>
        <v>0</v>
      </c>
      <c r="AX56" s="484">
        <f>IF(AND(AX$4&lt;'Data entry'!$B$13,AX$4&lt;'Data entry'!$C$90),'Data entry'!$B$90,0)</f>
        <v>0</v>
      </c>
      <c r="AY56" s="484">
        <f>IF(AND(AY$4&lt;'Data entry'!$B$13,AY$4&lt;'Data entry'!$C$90),'Data entry'!$B$90,0)</f>
        <v>0</v>
      </c>
      <c r="AZ56" s="484">
        <f>IF(AND(AZ$4&lt;'Data entry'!$B$13,AZ$4&lt;'Data entry'!$C$90),'Data entry'!$B$90,0)</f>
        <v>0</v>
      </c>
      <c r="BA56" s="484">
        <f>IF(AND(BA$4&lt;'Data entry'!$B$13,BA$4&lt;'Data entry'!$C$90),'Data entry'!$B$90,0)</f>
        <v>0</v>
      </c>
      <c r="BB56" s="484">
        <f>IF(AND(BB$4&lt;'Data entry'!$B$13,BB$4&lt;'Data entry'!$C$90),'Data entry'!$B$90,0)</f>
        <v>0</v>
      </c>
      <c r="BC56" s="484">
        <f>IF(AND(BC$4&lt;'Data entry'!$B$13,BC$4&lt;'Data entry'!$C$90),'Data entry'!$B$90,0)</f>
        <v>0</v>
      </c>
      <c r="BD56" s="484">
        <f>IF(AND(BD$4&lt;'Data entry'!$B$13,BD$4&lt;'Data entry'!$C$90),'Data entry'!$B$90,0)</f>
        <v>0</v>
      </c>
      <c r="BE56" s="484">
        <f>IF(AND(BE$4&lt;'Data entry'!$B$13,BE$4&lt;'Data entry'!$C$90),'Data entry'!$B$90,0)</f>
        <v>0</v>
      </c>
      <c r="BF56" s="484">
        <f>IF(AND(BF$4&lt;'Data entry'!$B$13,BF$4&lt;'Data entry'!$C$90),'Data entry'!$B$90,0)</f>
        <v>0</v>
      </c>
      <c r="BG56" s="484">
        <f>IF(AND(BG$4&lt;'Data entry'!$B$13,BG$4&lt;'Data entry'!$C$90),'Data entry'!$B$90,0)</f>
        <v>0</v>
      </c>
      <c r="BH56" s="484">
        <f>IF(AND(BH$4&lt;'Data entry'!$B$13,BH$4&lt;'Data entry'!$C$90),'Data entry'!$B$90,0)</f>
        <v>0</v>
      </c>
      <c r="BI56" s="484">
        <f>IF(AND(BI$4&lt;'Data entry'!$B$13,BI$4&lt;'Data entry'!$C$90),'Data entry'!$B$90,0)</f>
        <v>0</v>
      </c>
      <c r="BJ56" s="484">
        <f>IF(AND(BJ$4&lt;'Data entry'!$B$13,BJ$4&lt;'Data entry'!$C$90),'Data entry'!$B$90,0)</f>
        <v>0</v>
      </c>
      <c r="BK56" s="488">
        <f>IF(AND(BK$4&lt;'Data entry'!$B$13,BK$4&lt;'Data entry'!$C$90),'Data entry'!$B$90,0)</f>
        <v>0</v>
      </c>
      <c r="BL56" s="484">
        <f>IF(AND(BL$4&lt;'Data entry'!$B$13,BL$4&lt;'Data entry'!$C$90),'Data entry'!$B$90,0)</f>
        <v>0</v>
      </c>
      <c r="BM56" s="484">
        <f>IF(AND(BM$4&lt;'Data entry'!$B$13,BM$4&lt;'Data entry'!$C$90),'Data entry'!$B$90,0)</f>
        <v>0</v>
      </c>
      <c r="BN56" s="484">
        <f>IF(AND(BN$4&lt;'Data entry'!$B$13,BN$4&lt;'Data entry'!$C$90),'Data entry'!$B$90,0)</f>
        <v>0</v>
      </c>
      <c r="BO56" s="484">
        <f>IF(AND(BO$4&lt;'Data entry'!$B$13,BO$4&lt;'Data entry'!$C$90),'Data entry'!$B$90,0)</f>
        <v>0</v>
      </c>
      <c r="BP56" s="484">
        <f>IF(AND(BP$4&lt;'Data entry'!$B$13,BP$4&lt;'Data entry'!$C$90),'Data entry'!$B$90,0)</f>
        <v>0</v>
      </c>
      <c r="BQ56" s="484">
        <f>IF(AND(BQ$4&lt;'Data entry'!$B$13,BQ$4&lt;'Data entry'!$C$90),'Data entry'!$B$90,0)</f>
        <v>0</v>
      </c>
      <c r="BR56" s="484">
        <f>IF(AND(BR$4&lt;'Data entry'!$B$13,BR$4&lt;'Data entry'!$C$90),'Data entry'!$B$90,0)</f>
        <v>0</v>
      </c>
      <c r="BS56" s="484">
        <f>IF(AND(BS$4&lt;'Data entry'!$B$13,BS$4&lt;'Data entry'!$C$90),'Data entry'!$B$90,0)</f>
        <v>0</v>
      </c>
      <c r="BT56" s="484">
        <f>IF(AND(BT$4&lt;'Data entry'!$B$13,BT$4&lt;'Data entry'!$C$90),'Data entry'!$B$90,0)</f>
        <v>0</v>
      </c>
      <c r="BU56" s="484">
        <f>IF(AND(BU$4&lt;'Data entry'!$B$13,BU$4&lt;'Data entry'!$C$90),'Data entry'!$B$90,0)</f>
        <v>0</v>
      </c>
      <c r="BV56" s="484">
        <f>IF(AND(BV$4&lt;'Data entry'!$B$13,BV$4&lt;'Data entry'!$C$90),'Data entry'!$B$90,0)</f>
        <v>0</v>
      </c>
      <c r="BW56" s="484">
        <f>IF(AND(BW$4&lt;'Data entry'!$B$13,BW$4&lt;'Data entry'!$C$90),'Data entry'!$B$90,0)</f>
        <v>0</v>
      </c>
      <c r="BX56" s="484">
        <f>IF(AND(BX$4&lt;'Data entry'!$B$13,BX$4&lt;'Data entry'!$C$90),'Data entry'!$B$90,0)</f>
        <v>0</v>
      </c>
      <c r="BY56" s="484">
        <f>IF(AND(BY$4&lt;'Data entry'!$B$13,BY$4&lt;'Data entry'!$C$90),'Data entry'!$B$90,0)</f>
        <v>0</v>
      </c>
      <c r="BZ56" s="484">
        <f>IF(AND(BZ$4&lt;'Data entry'!$B$13,BZ$4&lt;'Data entry'!$C$90),'Data entry'!$B$90,0)</f>
        <v>0</v>
      </c>
      <c r="CA56" s="488">
        <f>IF(AND(CA$4&lt;'Data entry'!$B$13,CA$4&lt;'Data entry'!$C$90),'Data entry'!$B$90,0)</f>
        <v>0</v>
      </c>
      <c r="CB56" s="484">
        <f>IF(AND(CB$4&lt;'Data entry'!$B$13,CB$4&lt;'Data entry'!$C$90),'Data entry'!$B$90,0)</f>
        <v>0</v>
      </c>
      <c r="CC56" s="484">
        <f>IF(AND(CC$4&lt;'Data entry'!$B$13,CC$4&lt;'Data entry'!$C$90),'Data entry'!$B$90,0)</f>
        <v>0</v>
      </c>
      <c r="CD56" s="484">
        <f>IF(AND(CD$4&lt;'Data entry'!$B$13,CD$4&lt;'Data entry'!$C$90),'Data entry'!$B$90,0)</f>
        <v>0</v>
      </c>
      <c r="CE56" s="484">
        <f>IF(AND(CE$4&lt;'Data entry'!$B$13,CE$4&lt;'Data entry'!$C$90),'Data entry'!$B$90,0)</f>
        <v>0</v>
      </c>
      <c r="CF56" s="484">
        <f>IF(AND(CF$4&lt;'Data entry'!$B$13,CF$4&lt;'Data entry'!$C$90),'Data entry'!$B$90,0)</f>
        <v>0</v>
      </c>
      <c r="CG56" s="484">
        <f>IF(AND(CG$4&lt;'Data entry'!$B$13,CG$4&lt;'Data entry'!$C$90),'Data entry'!$B$90,0)</f>
        <v>0</v>
      </c>
      <c r="CH56" s="484">
        <f>IF(AND(CH$4&lt;'Data entry'!$B$13,CH$4&lt;'Data entry'!$C$90),'Data entry'!$B$90,0)</f>
        <v>0</v>
      </c>
      <c r="CI56" s="484">
        <f>IF(AND(CI$4&lt;'Data entry'!$B$13,CI$4&lt;'Data entry'!$C$90),'Data entry'!$B$90,0)</f>
        <v>0</v>
      </c>
      <c r="CJ56" s="484">
        <f>IF(AND(CJ$4&lt;'Data entry'!$B$13,CJ$4&lt;'Data entry'!$C$90),'Data entry'!$B$90,0)</f>
        <v>0</v>
      </c>
      <c r="CK56" s="484">
        <f>IF(AND(CK$4&lt;'Data entry'!$B$13,CK$4&lt;'Data entry'!$C$90),'Data entry'!$B$90,0)</f>
        <v>0</v>
      </c>
      <c r="CL56" s="484">
        <f>IF(AND(CL$4&lt;'Data entry'!$B$13,CL$4&lt;'Data entry'!$C$90),'Data entry'!$B$90,0)</f>
        <v>0</v>
      </c>
      <c r="CM56" s="484">
        <f>IF(AND(CM$4&lt;'Data entry'!$B$13,CM$4&lt;'Data entry'!$C$90),'Data entry'!$B$90,0)</f>
        <v>0</v>
      </c>
      <c r="CN56" s="484">
        <f>IF(AND(CN$4&lt;'Data entry'!$B$13,CN$4&lt;'Data entry'!$C$90),'Data entry'!$B$90,0)</f>
        <v>0</v>
      </c>
      <c r="CO56" s="484">
        <f>IF(AND(CO$4&lt;'Data entry'!$B$13,CO$4&lt;'Data entry'!$C$90),'Data entry'!$B$90,0)</f>
        <v>0</v>
      </c>
      <c r="CP56" s="484">
        <f>IF(AND(CP$4&lt;'Data entry'!$B$13,CP$4&lt;'Data entry'!$C$90),'Data entry'!$B$90,0)</f>
        <v>0</v>
      </c>
      <c r="CQ56" s="484">
        <f>IF(AND(CQ$4&lt;'Data entry'!$B$13,CQ$4&lt;'Data entry'!$C$90),'Data entry'!$B$90,0)</f>
        <v>0</v>
      </c>
      <c r="CR56" s="484">
        <f>IF(AND(CR$4&lt;'Data entry'!$B$13,CR$4&lt;'Data entry'!$C$90),'Data entry'!$B$90,0)</f>
        <v>0</v>
      </c>
      <c r="CS56" s="484">
        <f>IF(AND(CS$4&lt;'Data entry'!$B$13,CS$4&lt;'Data entry'!$C$90),'Data entry'!$B$90,0)</f>
        <v>0</v>
      </c>
      <c r="CT56" s="484">
        <f>IF(AND(CT$4&lt;'Data entry'!$B$13,CT$4&lt;'Data entry'!$C$90),'Data entry'!$B$90,0)</f>
        <v>0</v>
      </c>
      <c r="CU56" s="484">
        <f>IF(AND(CU$4&lt;'Data entry'!$B$13,CU$4&lt;'Data entry'!$C$90),'Data entry'!$B$90,0)</f>
        <v>0</v>
      </c>
      <c r="CV56" s="484">
        <f>IF(AND(CV$4&lt;'Data entry'!$B$13,CV$4&lt;'Data entry'!$C$90),'Data entry'!$B$90,0)</f>
        <v>0</v>
      </c>
      <c r="CW56" s="484">
        <f>IF(AND(CW$4&lt;'Data entry'!$B$13,CW$4&lt;'Data entry'!$C$90),'Data entry'!$B$90,0)</f>
        <v>0</v>
      </c>
      <c r="CX56" s="484">
        <f>IF(AND(CX$4&lt;'Data entry'!$B$13,CX$4&lt;'Data entry'!$C$90),'Data entry'!$B$90,0)</f>
        <v>0</v>
      </c>
      <c r="CY56" s="507">
        <f>IF(AND(CY$4&lt;'Data entry'!$B$13,CY$4&lt;'Data entry'!$C$90),'Data entry'!$B$90,0)</f>
        <v>0</v>
      </c>
    </row>
    <row r="57" spans="1:103" ht="15" customHeight="1" x14ac:dyDescent="0.35">
      <c r="A57" s="895" t="s">
        <v>39</v>
      </c>
      <c r="B57" s="288" t="str">
        <f>'Data entry'!A91</f>
        <v>Other regular payments/sponsorships/donations (specify)</v>
      </c>
      <c r="C57" s="479">
        <f t="shared" ref="C57" si="17">SUM(D57:CY57)</f>
        <v>0</v>
      </c>
      <c r="D57" s="484">
        <f>IF(AND(D$4&lt;'Data entry'!$B$13,D$4&lt;'Data entry'!$C$91),'Data entry'!$B$91,0)</f>
        <v>0</v>
      </c>
      <c r="E57" s="484">
        <f>IF(AND(E$4&lt;'Data entry'!$B$13,E$4&lt;'Data entry'!$C$91),'Data entry'!$B$91,0)</f>
        <v>0</v>
      </c>
      <c r="F57" s="484">
        <f>IF(AND(F$4&lt;'Data entry'!$B$13,F$4&lt;'Data entry'!$C$91),'Data entry'!$B$91,0)</f>
        <v>0</v>
      </c>
      <c r="G57" s="484">
        <f>IF(AND(G$4&lt;'Data entry'!$B$13,G$4&lt;'Data entry'!$C$91),'Data entry'!$B$91,0)</f>
        <v>0</v>
      </c>
      <c r="H57" s="484">
        <f>IF(AND(H$4&lt;'Data entry'!$B$13,H$4&lt;'Data entry'!$C$91),'Data entry'!$B$91,0)</f>
        <v>0</v>
      </c>
      <c r="I57" s="484">
        <f>IF(AND(I$4&lt;'Data entry'!$B$13,I$4&lt;'Data entry'!$C$91),'Data entry'!$B$91,0)</f>
        <v>0</v>
      </c>
      <c r="J57" s="484">
        <f>IF(AND(J$4&lt;'Data entry'!$B$13,J$4&lt;'Data entry'!$C$91),'Data entry'!$B$91,0)</f>
        <v>0</v>
      </c>
      <c r="K57" s="484">
        <f>IF(AND(K$4&lt;'Data entry'!$B$13,K$4&lt;'Data entry'!$C$91),'Data entry'!$B$91,0)</f>
        <v>0</v>
      </c>
      <c r="L57" s="484">
        <f>IF(AND(L$4&lt;'Data entry'!$B$13,L$4&lt;'Data entry'!$C$91),'Data entry'!$B$91,0)</f>
        <v>0</v>
      </c>
      <c r="M57" s="484">
        <f>IF(AND(M$4&lt;'Data entry'!$B$13,M$4&lt;'Data entry'!$C$91),'Data entry'!$B$91,0)</f>
        <v>0</v>
      </c>
      <c r="N57" s="484">
        <f>IF(AND(N$4&lt;'Data entry'!$B$13,N$4&lt;'Data entry'!$C$91),'Data entry'!$B$91,0)</f>
        <v>0</v>
      </c>
      <c r="O57" s="484">
        <f>IF(AND(O$4&lt;'Data entry'!$B$13,O$4&lt;'Data entry'!$C$91),'Data entry'!$B$91,0)</f>
        <v>0</v>
      </c>
      <c r="P57" s="484">
        <f>IF(AND(P$4&lt;'Data entry'!$B$13,P$4&lt;'Data entry'!$C$91),'Data entry'!$B$91,0)</f>
        <v>0</v>
      </c>
      <c r="Q57" s="484">
        <f>IF(AND(Q$4&lt;'Data entry'!$B$13,Q$4&lt;'Data entry'!$C$91),'Data entry'!$B$91,0)</f>
        <v>0</v>
      </c>
      <c r="R57" s="484">
        <f>IF(AND(R$4&lt;'Data entry'!$B$13,R$4&lt;'Data entry'!$C$91),'Data entry'!$B$91,0)</f>
        <v>0</v>
      </c>
      <c r="S57" s="484">
        <f>IF(AND(S$4&lt;'Data entry'!$B$13,S$4&lt;'Data entry'!$C$91),'Data entry'!$B$91,0)</f>
        <v>0</v>
      </c>
      <c r="T57" s="484">
        <f>IF(AND(T$4&lt;'Data entry'!$B$13,T$4&lt;'Data entry'!$C$91),'Data entry'!$B$91,0)</f>
        <v>0</v>
      </c>
      <c r="U57" s="484">
        <f>IF(AND(U$4&lt;'Data entry'!$B$13,U$4&lt;'Data entry'!$C$91),'Data entry'!$B$91,0)</f>
        <v>0</v>
      </c>
      <c r="V57" s="484">
        <f>IF(AND(V$4&lt;'Data entry'!$B$13,V$4&lt;'Data entry'!$C$91),'Data entry'!$B$91,0)</f>
        <v>0</v>
      </c>
      <c r="W57" s="484">
        <f>IF(AND(W$4&lt;'Data entry'!$B$13,W$4&lt;'Data entry'!$C$91),'Data entry'!$B$91,0)</f>
        <v>0</v>
      </c>
      <c r="X57" s="484">
        <f>IF(AND(X$4&lt;'Data entry'!$B$13,X$4&lt;'Data entry'!$C$91),'Data entry'!$B$91,0)</f>
        <v>0</v>
      </c>
      <c r="Y57" s="484">
        <f>IF(AND(Y$4&lt;'Data entry'!$B$13,Y$4&lt;'Data entry'!$C$91),'Data entry'!$B$91,0)</f>
        <v>0</v>
      </c>
      <c r="Z57" s="484">
        <f>IF(AND(Z$4&lt;'Data entry'!$B$13,Z$4&lt;'Data entry'!$C$91),'Data entry'!$B$91,0)</f>
        <v>0</v>
      </c>
      <c r="AA57" s="484">
        <f>IF(AND(AA$4&lt;'Data entry'!$B$13,AA$4&lt;'Data entry'!$C$91),'Data entry'!$B$91,0)</f>
        <v>0</v>
      </c>
      <c r="AB57" s="484">
        <f>IF(AND(AB$4&lt;'Data entry'!$B$13,AB$4&lt;'Data entry'!$C$91),'Data entry'!$B$91,0)</f>
        <v>0</v>
      </c>
      <c r="AC57" s="484">
        <f>IF(AND(AC$4&lt;'Data entry'!$B$13,AC$4&lt;'Data entry'!$C$91),'Data entry'!$B$91,0)</f>
        <v>0</v>
      </c>
      <c r="AD57" s="484">
        <f>IF(AND(AD$4&lt;'Data entry'!$B$13,AD$4&lt;'Data entry'!$C$91),'Data entry'!$B$91,0)</f>
        <v>0</v>
      </c>
      <c r="AE57" s="484">
        <f>IF(AND(AE$4&lt;'Data entry'!$B$13,AE$4&lt;'Data entry'!$C$91),'Data entry'!$B$91,0)</f>
        <v>0</v>
      </c>
      <c r="AF57" s="484">
        <f>IF(AND(AF$4&lt;'Data entry'!$B$13,AF$4&lt;'Data entry'!$C$91),'Data entry'!$B$91,0)</f>
        <v>0</v>
      </c>
      <c r="AG57" s="484">
        <f>IF(AND(AG$4&lt;'Data entry'!$B$13,AG$4&lt;'Data entry'!$C$91),'Data entry'!$B$91,0)</f>
        <v>0</v>
      </c>
      <c r="AH57" s="484">
        <f>IF(AND(AH$4&lt;'Data entry'!$B$13,AH$4&lt;'Data entry'!$C$91),'Data entry'!$B$91,0)</f>
        <v>0</v>
      </c>
      <c r="AI57" s="484">
        <f>IF(AND(AI$4&lt;'Data entry'!$B$13,AI$4&lt;'Data entry'!$C$91),'Data entry'!$B$91,0)</f>
        <v>0</v>
      </c>
      <c r="AJ57" s="484">
        <f>IF(AND(AJ$4&lt;'Data entry'!$B$13,AJ$4&lt;'Data entry'!$C$91),'Data entry'!$B$91,0)</f>
        <v>0</v>
      </c>
      <c r="AK57" s="484">
        <f>IF(AND(AK$4&lt;'Data entry'!$B$13,AK$4&lt;'Data entry'!$C$91),'Data entry'!$B$91,0)</f>
        <v>0</v>
      </c>
      <c r="AL57" s="484">
        <f>IF(AND(AL$4&lt;'Data entry'!$B$13,AL$4&lt;'Data entry'!$C$91),'Data entry'!$B$91,0)</f>
        <v>0</v>
      </c>
      <c r="AM57" s="484">
        <f>IF(AND(AM$4&lt;'Data entry'!$B$13,AM$4&lt;'Data entry'!$C$91),'Data entry'!$B$91,0)</f>
        <v>0</v>
      </c>
      <c r="AN57" s="484">
        <f>IF(AND(AN$4&lt;'Data entry'!$B$13,AN$4&lt;'Data entry'!$C$91),'Data entry'!$B$91,0)</f>
        <v>0</v>
      </c>
      <c r="AO57" s="488">
        <f>IF(AND(AO$4&lt;'Data entry'!$B$13,AO$4&lt;'Data entry'!$C$91),'Data entry'!$B$91,0)</f>
        <v>0</v>
      </c>
      <c r="AP57" s="484">
        <f>IF(AND(AP$4&lt;'Data entry'!$B$13,AP$4&lt;'Data entry'!$C$91),'Data entry'!$B$91,0)</f>
        <v>0</v>
      </c>
      <c r="AQ57" s="484">
        <f>IF(AND(AQ$4&lt;'Data entry'!$B$13,AQ$4&lt;'Data entry'!$C$91),'Data entry'!$B$91,0)</f>
        <v>0</v>
      </c>
      <c r="AR57" s="484">
        <f>IF(AND(AR$4&lt;'Data entry'!$B$13,AR$4&lt;'Data entry'!$C$91),'Data entry'!$B$91,0)</f>
        <v>0</v>
      </c>
      <c r="AS57" s="484">
        <f>IF(AND(AS$4&lt;'Data entry'!$B$13,AS$4&lt;'Data entry'!$C$91),'Data entry'!$B$91,0)</f>
        <v>0</v>
      </c>
      <c r="AT57" s="484">
        <f>IF(AND(AT$4&lt;'Data entry'!$B$13,AT$4&lt;'Data entry'!$C$91),'Data entry'!$B$91,0)</f>
        <v>0</v>
      </c>
      <c r="AU57" s="484">
        <f>IF(AND(AU$4&lt;'Data entry'!$B$13,AU$4&lt;'Data entry'!$C$91),'Data entry'!$B$91,0)</f>
        <v>0</v>
      </c>
      <c r="AV57" s="484">
        <f>IF(AND(AV$4&lt;'Data entry'!$B$13,AV$4&lt;'Data entry'!$C$91),'Data entry'!$B$91,0)</f>
        <v>0</v>
      </c>
      <c r="AW57" s="484">
        <f>IF(AND(AW$4&lt;'Data entry'!$B$13,AW$4&lt;'Data entry'!$C$91),'Data entry'!$B$91,0)</f>
        <v>0</v>
      </c>
      <c r="AX57" s="484">
        <f>IF(AND(AX$4&lt;'Data entry'!$B$13,AX$4&lt;'Data entry'!$C$91),'Data entry'!$B$91,0)</f>
        <v>0</v>
      </c>
      <c r="AY57" s="484">
        <f>IF(AND(AY$4&lt;'Data entry'!$B$13,AY$4&lt;'Data entry'!$C$91),'Data entry'!$B$91,0)</f>
        <v>0</v>
      </c>
      <c r="AZ57" s="484">
        <f>IF(AND(AZ$4&lt;'Data entry'!$B$13,AZ$4&lt;'Data entry'!$C$91),'Data entry'!$B$91,0)</f>
        <v>0</v>
      </c>
      <c r="BA57" s="484">
        <f>IF(AND(BA$4&lt;'Data entry'!$B$13,BA$4&lt;'Data entry'!$C$91),'Data entry'!$B$91,0)</f>
        <v>0</v>
      </c>
      <c r="BB57" s="484">
        <f>IF(AND(BB$4&lt;'Data entry'!$B$13,BB$4&lt;'Data entry'!$C$91),'Data entry'!$B$91,0)</f>
        <v>0</v>
      </c>
      <c r="BC57" s="484">
        <f>IF(AND(BC$4&lt;'Data entry'!$B$13,BC$4&lt;'Data entry'!$C$91),'Data entry'!$B$91,0)</f>
        <v>0</v>
      </c>
      <c r="BD57" s="484">
        <f>IF(AND(BD$4&lt;'Data entry'!$B$13,BD$4&lt;'Data entry'!$C$91),'Data entry'!$B$91,0)</f>
        <v>0</v>
      </c>
      <c r="BE57" s="484">
        <f>IF(AND(BE$4&lt;'Data entry'!$B$13,BE$4&lt;'Data entry'!$C$91),'Data entry'!$B$91,0)</f>
        <v>0</v>
      </c>
      <c r="BF57" s="484">
        <f>IF(AND(BF$4&lt;'Data entry'!$B$13,BF$4&lt;'Data entry'!$C$91),'Data entry'!$B$91,0)</f>
        <v>0</v>
      </c>
      <c r="BG57" s="484">
        <f>IF(AND(BG$4&lt;'Data entry'!$B$13,BG$4&lt;'Data entry'!$C$91),'Data entry'!$B$91,0)</f>
        <v>0</v>
      </c>
      <c r="BH57" s="484">
        <f>IF(AND(BH$4&lt;'Data entry'!$B$13,BH$4&lt;'Data entry'!$C$91),'Data entry'!$B$91,0)</f>
        <v>0</v>
      </c>
      <c r="BI57" s="484">
        <f>IF(AND(BI$4&lt;'Data entry'!$B$13,BI$4&lt;'Data entry'!$C$91),'Data entry'!$B$91,0)</f>
        <v>0</v>
      </c>
      <c r="BJ57" s="484">
        <f>IF(AND(BJ$4&lt;'Data entry'!$B$13,BJ$4&lt;'Data entry'!$C$91),'Data entry'!$B$91,0)</f>
        <v>0</v>
      </c>
      <c r="BK57" s="488">
        <f>IF(AND(BK$4&lt;'Data entry'!$B$13,BK$4&lt;'Data entry'!$C$91),'Data entry'!$B$91,0)</f>
        <v>0</v>
      </c>
      <c r="BL57" s="484">
        <f>IF(AND(BL$4&lt;'Data entry'!$B$13,BL$4&lt;'Data entry'!$C$91),'Data entry'!$B$91,0)</f>
        <v>0</v>
      </c>
      <c r="BM57" s="484">
        <f>IF(AND(BM$4&lt;'Data entry'!$B$13,BM$4&lt;'Data entry'!$C$91),'Data entry'!$B$91,0)</f>
        <v>0</v>
      </c>
      <c r="BN57" s="484">
        <f>IF(AND(BN$4&lt;'Data entry'!$B$13,BN$4&lt;'Data entry'!$C$91),'Data entry'!$B$91,0)</f>
        <v>0</v>
      </c>
      <c r="BO57" s="484">
        <f>IF(AND(BO$4&lt;'Data entry'!$B$13,BO$4&lt;'Data entry'!$C$91),'Data entry'!$B$91,0)</f>
        <v>0</v>
      </c>
      <c r="BP57" s="484">
        <f>IF(AND(BP$4&lt;'Data entry'!$B$13,BP$4&lt;'Data entry'!$C$91),'Data entry'!$B$91,0)</f>
        <v>0</v>
      </c>
      <c r="BQ57" s="484">
        <f>IF(AND(BQ$4&lt;'Data entry'!$B$13,BQ$4&lt;'Data entry'!$C$91),'Data entry'!$B$91,0)</f>
        <v>0</v>
      </c>
      <c r="BR57" s="484">
        <f>IF(AND(BR$4&lt;'Data entry'!$B$13,BR$4&lt;'Data entry'!$C$91),'Data entry'!$B$91,0)</f>
        <v>0</v>
      </c>
      <c r="BS57" s="484">
        <f>IF(AND(BS$4&lt;'Data entry'!$B$13,BS$4&lt;'Data entry'!$C$91),'Data entry'!$B$91,0)</f>
        <v>0</v>
      </c>
      <c r="BT57" s="484">
        <f>IF(AND(BT$4&lt;'Data entry'!$B$13,BT$4&lt;'Data entry'!$C$91),'Data entry'!$B$91,0)</f>
        <v>0</v>
      </c>
      <c r="BU57" s="484">
        <f>IF(AND(BU$4&lt;'Data entry'!$B$13,BU$4&lt;'Data entry'!$C$91),'Data entry'!$B$91,0)</f>
        <v>0</v>
      </c>
      <c r="BV57" s="484">
        <f>IF(AND(BV$4&lt;'Data entry'!$B$13,BV$4&lt;'Data entry'!$C$91),'Data entry'!$B$91,0)</f>
        <v>0</v>
      </c>
      <c r="BW57" s="484">
        <f>IF(AND(BW$4&lt;'Data entry'!$B$13,BW$4&lt;'Data entry'!$C$91),'Data entry'!$B$91,0)</f>
        <v>0</v>
      </c>
      <c r="BX57" s="484">
        <f>IF(AND(BX$4&lt;'Data entry'!$B$13,BX$4&lt;'Data entry'!$C$91),'Data entry'!$B$91,0)</f>
        <v>0</v>
      </c>
      <c r="BY57" s="484">
        <f>IF(AND(BY$4&lt;'Data entry'!$B$13,BY$4&lt;'Data entry'!$C$91),'Data entry'!$B$91,0)</f>
        <v>0</v>
      </c>
      <c r="BZ57" s="484">
        <f>IF(AND(BZ$4&lt;'Data entry'!$B$13,BZ$4&lt;'Data entry'!$C$91),'Data entry'!$B$91,0)</f>
        <v>0</v>
      </c>
      <c r="CA57" s="488">
        <f>IF(AND(CA$4&lt;'Data entry'!$B$13,CA$4&lt;'Data entry'!$C$91),'Data entry'!$B$91,0)</f>
        <v>0</v>
      </c>
      <c r="CB57" s="484">
        <f>IF(AND(CB$4&lt;'Data entry'!$B$13,CB$4&lt;'Data entry'!$C$91),'Data entry'!$B$91,0)</f>
        <v>0</v>
      </c>
      <c r="CC57" s="484">
        <f>IF(AND(CC$4&lt;'Data entry'!$B$13,CC$4&lt;'Data entry'!$C$91),'Data entry'!$B$91,0)</f>
        <v>0</v>
      </c>
      <c r="CD57" s="484">
        <f>IF(AND(CD$4&lt;'Data entry'!$B$13,CD$4&lt;'Data entry'!$C$91),'Data entry'!$B$91,0)</f>
        <v>0</v>
      </c>
      <c r="CE57" s="484">
        <f>IF(AND(CE$4&lt;'Data entry'!$B$13,CE$4&lt;'Data entry'!$C$91),'Data entry'!$B$91,0)</f>
        <v>0</v>
      </c>
      <c r="CF57" s="484">
        <f>IF(AND(CF$4&lt;'Data entry'!$B$13,CF$4&lt;'Data entry'!$C$91),'Data entry'!$B$91,0)</f>
        <v>0</v>
      </c>
      <c r="CG57" s="484">
        <f>IF(AND(CG$4&lt;'Data entry'!$B$13,CG$4&lt;'Data entry'!$C$91),'Data entry'!$B$91,0)</f>
        <v>0</v>
      </c>
      <c r="CH57" s="484">
        <f>IF(AND(CH$4&lt;'Data entry'!$B$13,CH$4&lt;'Data entry'!$C$91),'Data entry'!$B$91,0)</f>
        <v>0</v>
      </c>
      <c r="CI57" s="484">
        <f>IF(AND(CI$4&lt;'Data entry'!$B$13,CI$4&lt;'Data entry'!$C$91),'Data entry'!$B$91,0)</f>
        <v>0</v>
      </c>
      <c r="CJ57" s="484">
        <f>IF(AND(CJ$4&lt;'Data entry'!$B$13,CJ$4&lt;'Data entry'!$C$91),'Data entry'!$B$91,0)</f>
        <v>0</v>
      </c>
      <c r="CK57" s="484">
        <f>IF(AND(CK$4&lt;'Data entry'!$B$13,CK$4&lt;'Data entry'!$C$91),'Data entry'!$B$91,0)</f>
        <v>0</v>
      </c>
      <c r="CL57" s="484">
        <f>IF(AND(CL$4&lt;'Data entry'!$B$13,CL$4&lt;'Data entry'!$C$91),'Data entry'!$B$91,0)</f>
        <v>0</v>
      </c>
      <c r="CM57" s="484">
        <f>IF(AND(CM$4&lt;'Data entry'!$B$13,CM$4&lt;'Data entry'!$C$91),'Data entry'!$B$91,0)</f>
        <v>0</v>
      </c>
      <c r="CN57" s="484">
        <f>IF(AND(CN$4&lt;'Data entry'!$B$13,CN$4&lt;'Data entry'!$C$91),'Data entry'!$B$91,0)</f>
        <v>0</v>
      </c>
      <c r="CO57" s="484">
        <f>IF(AND(CO$4&lt;'Data entry'!$B$13,CO$4&lt;'Data entry'!$C$91),'Data entry'!$B$91,0)</f>
        <v>0</v>
      </c>
      <c r="CP57" s="484">
        <f>IF(AND(CP$4&lt;'Data entry'!$B$13,CP$4&lt;'Data entry'!$C$91),'Data entry'!$B$91,0)</f>
        <v>0</v>
      </c>
      <c r="CQ57" s="484">
        <f>IF(AND(CQ$4&lt;'Data entry'!$B$13,CQ$4&lt;'Data entry'!$C$91),'Data entry'!$B$91,0)</f>
        <v>0</v>
      </c>
      <c r="CR57" s="484">
        <f>IF(AND(CR$4&lt;'Data entry'!$B$13,CR$4&lt;'Data entry'!$C$91),'Data entry'!$B$91,0)</f>
        <v>0</v>
      </c>
      <c r="CS57" s="484">
        <f>IF(AND(CS$4&lt;'Data entry'!$B$13,CS$4&lt;'Data entry'!$C$91),'Data entry'!$B$91,0)</f>
        <v>0</v>
      </c>
      <c r="CT57" s="484">
        <f>IF(AND(CT$4&lt;'Data entry'!$B$13,CT$4&lt;'Data entry'!$C$91),'Data entry'!$B$91,0)</f>
        <v>0</v>
      </c>
      <c r="CU57" s="484">
        <f>IF(AND(CU$4&lt;'Data entry'!$B$13,CU$4&lt;'Data entry'!$C$91),'Data entry'!$B$91,0)</f>
        <v>0</v>
      </c>
      <c r="CV57" s="484">
        <f>IF(AND(CV$4&lt;'Data entry'!$B$13,CV$4&lt;'Data entry'!$C$91),'Data entry'!$B$91,0)</f>
        <v>0</v>
      </c>
      <c r="CW57" s="484">
        <f>IF(AND(CW$4&lt;'Data entry'!$B$13,CW$4&lt;'Data entry'!$C$91),'Data entry'!$B$91,0)</f>
        <v>0</v>
      </c>
      <c r="CX57" s="484">
        <f>IF(AND(CX$4&lt;'Data entry'!$B$13,CX$4&lt;'Data entry'!$C$91),'Data entry'!$B$91,0)</f>
        <v>0</v>
      </c>
      <c r="CY57" s="507">
        <f>IF(AND(CY$4&lt;'Data entry'!$B$13,CY$4&lt;'Data entry'!$C$91),'Data entry'!$B$91,0)</f>
        <v>0</v>
      </c>
    </row>
    <row r="58" spans="1:103" ht="15" customHeight="1" x14ac:dyDescent="0.35">
      <c r="A58" s="895" t="s">
        <v>39</v>
      </c>
      <c r="B58" s="288" t="str">
        <f>'Data entry'!A92</f>
        <v>Other regular payments/sponsorships/donations (specify)</v>
      </c>
      <c r="C58" s="479">
        <f t="shared" ref="C58" si="18">SUM(D58:CY58)</f>
        <v>0</v>
      </c>
      <c r="D58" s="484">
        <f>IF(AND(D$4&lt;'Data entry'!$B$13,D$4&lt;'Data entry'!$C$92),'Data entry'!$B$92,0)</f>
        <v>0</v>
      </c>
      <c r="E58" s="484">
        <f>IF(AND(E$4&lt;'Data entry'!$B$13,E$4&lt;'Data entry'!$C$92),'Data entry'!$B$92,0)</f>
        <v>0</v>
      </c>
      <c r="F58" s="484">
        <f>IF(AND(F$4&lt;'Data entry'!$B$13,F$4&lt;'Data entry'!$C$92),'Data entry'!$B$92,0)</f>
        <v>0</v>
      </c>
      <c r="G58" s="484">
        <f>IF(AND(G$4&lt;'Data entry'!$B$13,G$4&lt;'Data entry'!$C$92),'Data entry'!$B$92,0)</f>
        <v>0</v>
      </c>
      <c r="H58" s="484">
        <f>IF(AND(H$4&lt;'Data entry'!$B$13,H$4&lt;'Data entry'!$C$92),'Data entry'!$B$92,0)</f>
        <v>0</v>
      </c>
      <c r="I58" s="484">
        <f>IF(AND(I$4&lt;'Data entry'!$B$13,I$4&lt;'Data entry'!$C$92),'Data entry'!$B$92,0)</f>
        <v>0</v>
      </c>
      <c r="J58" s="484">
        <f>IF(AND(J$4&lt;'Data entry'!$B$13,J$4&lt;'Data entry'!$C$92),'Data entry'!$B$92,0)</f>
        <v>0</v>
      </c>
      <c r="K58" s="484">
        <f>IF(AND(K$4&lt;'Data entry'!$B$13,K$4&lt;'Data entry'!$C$92),'Data entry'!$B$92,0)</f>
        <v>0</v>
      </c>
      <c r="L58" s="484">
        <f>IF(AND(L$4&lt;'Data entry'!$B$13,L$4&lt;'Data entry'!$C$92),'Data entry'!$B$92,0)</f>
        <v>0</v>
      </c>
      <c r="M58" s="484">
        <f>IF(AND(M$4&lt;'Data entry'!$B$13,M$4&lt;'Data entry'!$C$92),'Data entry'!$B$92,0)</f>
        <v>0</v>
      </c>
      <c r="N58" s="484">
        <f>IF(AND(N$4&lt;'Data entry'!$B$13,N$4&lt;'Data entry'!$C$92),'Data entry'!$B$92,0)</f>
        <v>0</v>
      </c>
      <c r="O58" s="484">
        <f>IF(AND(O$4&lt;'Data entry'!$B$13,O$4&lt;'Data entry'!$C$92),'Data entry'!$B$92,0)</f>
        <v>0</v>
      </c>
      <c r="P58" s="484">
        <f>IF(AND(P$4&lt;'Data entry'!$B$13,P$4&lt;'Data entry'!$C$92),'Data entry'!$B$92,0)</f>
        <v>0</v>
      </c>
      <c r="Q58" s="484">
        <f>IF(AND(Q$4&lt;'Data entry'!$B$13,Q$4&lt;'Data entry'!$C$92),'Data entry'!$B$92,0)</f>
        <v>0</v>
      </c>
      <c r="R58" s="484">
        <f>IF(AND(R$4&lt;'Data entry'!$B$13,R$4&lt;'Data entry'!$C$92),'Data entry'!$B$92,0)</f>
        <v>0</v>
      </c>
      <c r="S58" s="484">
        <f>IF(AND(S$4&lt;'Data entry'!$B$13,S$4&lt;'Data entry'!$C$92),'Data entry'!$B$92,0)</f>
        <v>0</v>
      </c>
      <c r="T58" s="484">
        <f>IF(AND(T$4&lt;'Data entry'!$B$13,T$4&lt;'Data entry'!$C$92),'Data entry'!$B$92,0)</f>
        <v>0</v>
      </c>
      <c r="U58" s="484">
        <f>IF(AND(U$4&lt;'Data entry'!$B$13,U$4&lt;'Data entry'!$C$92),'Data entry'!$B$92,0)</f>
        <v>0</v>
      </c>
      <c r="V58" s="484">
        <f>IF(AND(V$4&lt;'Data entry'!$B$13,V$4&lt;'Data entry'!$C$92),'Data entry'!$B$92,0)</f>
        <v>0</v>
      </c>
      <c r="W58" s="484">
        <f>IF(AND(W$4&lt;'Data entry'!$B$13,W$4&lt;'Data entry'!$C$92),'Data entry'!$B$92,0)</f>
        <v>0</v>
      </c>
      <c r="X58" s="484">
        <f>IF(AND(X$4&lt;'Data entry'!$B$13,X$4&lt;'Data entry'!$C$92),'Data entry'!$B$92,0)</f>
        <v>0</v>
      </c>
      <c r="Y58" s="484">
        <f>IF(AND(Y$4&lt;'Data entry'!$B$13,Y$4&lt;'Data entry'!$C$92),'Data entry'!$B$92,0)</f>
        <v>0</v>
      </c>
      <c r="Z58" s="484">
        <f>IF(AND(Z$4&lt;'Data entry'!$B$13,Z$4&lt;'Data entry'!$C$92),'Data entry'!$B$92,0)</f>
        <v>0</v>
      </c>
      <c r="AA58" s="484">
        <f>IF(AND(AA$4&lt;'Data entry'!$B$13,AA$4&lt;'Data entry'!$C$92),'Data entry'!$B$92,0)</f>
        <v>0</v>
      </c>
      <c r="AB58" s="484">
        <f>IF(AND(AB$4&lt;'Data entry'!$B$13,AB$4&lt;'Data entry'!$C$92),'Data entry'!$B$92,0)</f>
        <v>0</v>
      </c>
      <c r="AC58" s="484">
        <f>IF(AND(AC$4&lt;'Data entry'!$B$13,AC$4&lt;'Data entry'!$C$92),'Data entry'!$B$92,0)</f>
        <v>0</v>
      </c>
      <c r="AD58" s="484">
        <f>IF(AND(AD$4&lt;'Data entry'!$B$13,AD$4&lt;'Data entry'!$C$92),'Data entry'!$B$92,0)</f>
        <v>0</v>
      </c>
      <c r="AE58" s="484">
        <f>IF(AND(AE$4&lt;'Data entry'!$B$13,AE$4&lt;'Data entry'!$C$92),'Data entry'!$B$92,0)</f>
        <v>0</v>
      </c>
      <c r="AF58" s="484">
        <f>IF(AND(AF$4&lt;'Data entry'!$B$13,AF$4&lt;'Data entry'!$C$92),'Data entry'!$B$92,0)</f>
        <v>0</v>
      </c>
      <c r="AG58" s="484">
        <f>IF(AND(AG$4&lt;'Data entry'!$B$13,AG$4&lt;'Data entry'!$C$92),'Data entry'!$B$92,0)</f>
        <v>0</v>
      </c>
      <c r="AH58" s="484">
        <f>IF(AND(AH$4&lt;'Data entry'!$B$13,AH$4&lt;'Data entry'!$C$92),'Data entry'!$B$92,0)</f>
        <v>0</v>
      </c>
      <c r="AI58" s="484">
        <f>IF(AND(AI$4&lt;'Data entry'!$B$13,AI$4&lt;'Data entry'!$C$92),'Data entry'!$B$92,0)</f>
        <v>0</v>
      </c>
      <c r="AJ58" s="484">
        <f>IF(AND(AJ$4&lt;'Data entry'!$B$13,AJ$4&lt;'Data entry'!$C$92),'Data entry'!$B$92,0)</f>
        <v>0</v>
      </c>
      <c r="AK58" s="484">
        <f>IF(AND(AK$4&lt;'Data entry'!$B$13,AK$4&lt;'Data entry'!$C$92),'Data entry'!$B$92,0)</f>
        <v>0</v>
      </c>
      <c r="AL58" s="484">
        <f>IF(AND(AL$4&lt;'Data entry'!$B$13,AL$4&lt;'Data entry'!$C$92),'Data entry'!$B$92,0)</f>
        <v>0</v>
      </c>
      <c r="AM58" s="484">
        <f>IF(AND(AM$4&lt;'Data entry'!$B$13,AM$4&lt;'Data entry'!$C$92),'Data entry'!$B$92,0)</f>
        <v>0</v>
      </c>
      <c r="AN58" s="484">
        <f>IF(AND(AN$4&lt;'Data entry'!$B$13,AN$4&lt;'Data entry'!$C$92),'Data entry'!$B$92,0)</f>
        <v>0</v>
      </c>
      <c r="AO58" s="488">
        <f>IF(AND(AO$4&lt;'Data entry'!$B$13,AO$4&lt;'Data entry'!$C$92),'Data entry'!$B$92,0)</f>
        <v>0</v>
      </c>
      <c r="AP58" s="484">
        <f>IF(AND(AP$4&lt;'Data entry'!$B$13,AP$4&lt;'Data entry'!$C$92),'Data entry'!$B$92,0)</f>
        <v>0</v>
      </c>
      <c r="AQ58" s="484">
        <f>IF(AND(AQ$4&lt;'Data entry'!$B$13,AQ$4&lt;'Data entry'!$C$92),'Data entry'!$B$92,0)</f>
        <v>0</v>
      </c>
      <c r="AR58" s="484">
        <f>IF(AND(AR$4&lt;'Data entry'!$B$13,AR$4&lt;'Data entry'!$C$92),'Data entry'!$B$92,0)</f>
        <v>0</v>
      </c>
      <c r="AS58" s="484">
        <f>IF(AND(AS$4&lt;'Data entry'!$B$13,AS$4&lt;'Data entry'!$C$92),'Data entry'!$B$92,0)</f>
        <v>0</v>
      </c>
      <c r="AT58" s="484">
        <f>IF(AND(AT$4&lt;'Data entry'!$B$13,AT$4&lt;'Data entry'!$C$92),'Data entry'!$B$92,0)</f>
        <v>0</v>
      </c>
      <c r="AU58" s="484">
        <f>IF(AND(AU$4&lt;'Data entry'!$B$13,AU$4&lt;'Data entry'!$C$92),'Data entry'!$B$92,0)</f>
        <v>0</v>
      </c>
      <c r="AV58" s="484">
        <f>IF(AND(AV$4&lt;'Data entry'!$B$13,AV$4&lt;'Data entry'!$C$92),'Data entry'!$B$92,0)</f>
        <v>0</v>
      </c>
      <c r="AW58" s="484">
        <f>IF(AND(AW$4&lt;'Data entry'!$B$13,AW$4&lt;'Data entry'!$C$92),'Data entry'!$B$92,0)</f>
        <v>0</v>
      </c>
      <c r="AX58" s="484">
        <f>IF(AND(AX$4&lt;'Data entry'!$B$13,AX$4&lt;'Data entry'!$C$92),'Data entry'!$B$92,0)</f>
        <v>0</v>
      </c>
      <c r="AY58" s="484">
        <f>IF(AND(AY$4&lt;'Data entry'!$B$13,AY$4&lt;'Data entry'!$C$92),'Data entry'!$B$92,0)</f>
        <v>0</v>
      </c>
      <c r="AZ58" s="484">
        <f>IF(AND(AZ$4&lt;'Data entry'!$B$13,AZ$4&lt;'Data entry'!$C$92),'Data entry'!$B$92,0)</f>
        <v>0</v>
      </c>
      <c r="BA58" s="484">
        <f>IF(AND(BA$4&lt;'Data entry'!$B$13,BA$4&lt;'Data entry'!$C$92),'Data entry'!$B$92,0)</f>
        <v>0</v>
      </c>
      <c r="BB58" s="484">
        <f>IF(AND(BB$4&lt;'Data entry'!$B$13,BB$4&lt;'Data entry'!$C$92),'Data entry'!$B$92,0)</f>
        <v>0</v>
      </c>
      <c r="BC58" s="484">
        <f>IF(AND(BC$4&lt;'Data entry'!$B$13,BC$4&lt;'Data entry'!$C$92),'Data entry'!$B$92,0)</f>
        <v>0</v>
      </c>
      <c r="BD58" s="484">
        <f>IF(AND(BD$4&lt;'Data entry'!$B$13,BD$4&lt;'Data entry'!$C$92),'Data entry'!$B$92,0)</f>
        <v>0</v>
      </c>
      <c r="BE58" s="484">
        <f>IF(AND(BE$4&lt;'Data entry'!$B$13,BE$4&lt;'Data entry'!$C$92),'Data entry'!$B$92,0)</f>
        <v>0</v>
      </c>
      <c r="BF58" s="484">
        <f>IF(AND(BF$4&lt;'Data entry'!$B$13,BF$4&lt;'Data entry'!$C$92),'Data entry'!$B$92,0)</f>
        <v>0</v>
      </c>
      <c r="BG58" s="484">
        <f>IF(AND(BG$4&lt;'Data entry'!$B$13,BG$4&lt;'Data entry'!$C$92),'Data entry'!$B$92,0)</f>
        <v>0</v>
      </c>
      <c r="BH58" s="484">
        <f>IF(AND(BH$4&lt;'Data entry'!$B$13,BH$4&lt;'Data entry'!$C$92),'Data entry'!$B$92,0)</f>
        <v>0</v>
      </c>
      <c r="BI58" s="484">
        <f>IF(AND(BI$4&lt;'Data entry'!$B$13,BI$4&lt;'Data entry'!$C$92),'Data entry'!$B$92,0)</f>
        <v>0</v>
      </c>
      <c r="BJ58" s="484">
        <f>IF(AND(BJ$4&lt;'Data entry'!$B$13,BJ$4&lt;'Data entry'!$C$92),'Data entry'!$B$92,0)</f>
        <v>0</v>
      </c>
      <c r="BK58" s="488">
        <f>IF(AND(BK$4&lt;'Data entry'!$B$13,BK$4&lt;'Data entry'!$C$92),'Data entry'!$B$92,0)</f>
        <v>0</v>
      </c>
      <c r="BL58" s="484">
        <f>IF(AND(BL$4&lt;'Data entry'!$B$13,BL$4&lt;'Data entry'!$C$92),'Data entry'!$B$92,0)</f>
        <v>0</v>
      </c>
      <c r="BM58" s="484">
        <f>IF(AND(BM$4&lt;'Data entry'!$B$13,BM$4&lt;'Data entry'!$C$92),'Data entry'!$B$92,0)</f>
        <v>0</v>
      </c>
      <c r="BN58" s="484">
        <f>IF(AND(BN$4&lt;'Data entry'!$B$13,BN$4&lt;'Data entry'!$C$92),'Data entry'!$B$92,0)</f>
        <v>0</v>
      </c>
      <c r="BO58" s="484">
        <f>IF(AND(BO$4&lt;'Data entry'!$B$13,BO$4&lt;'Data entry'!$C$92),'Data entry'!$B$92,0)</f>
        <v>0</v>
      </c>
      <c r="BP58" s="484">
        <f>IF(AND(BP$4&lt;'Data entry'!$B$13,BP$4&lt;'Data entry'!$C$92),'Data entry'!$B$92,0)</f>
        <v>0</v>
      </c>
      <c r="BQ58" s="484">
        <f>IF(AND(BQ$4&lt;'Data entry'!$B$13,BQ$4&lt;'Data entry'!$C$92),'Data entry'!$B$92,0)</f>
        <v>0</v>
      </c>
      <c r="BR58" s="484">
        <f>IF(AND(BR$4&lt;'Data entry'!$B$13,BR$4&lt;'Data entry'!$C$92),'Data entry'!$B$92,0)</f>
        <v>0</v>
      </c>
      <c r="BS58" s="484">
        <f>IF(AND(BS$4&lt;'Data entry'!$B$13,BS$4&lt;'Data entry'!$C$92),'Data entry'!$B$92,0)</f>
        <v>0</v>
      </c>
      <c r="BT58" s="484">
        <f>IF(AND(BT$4&lt;'Data entry'!$B$13,BT$4&lt;'Data entry'!$C$92),'Data entry'!$B$92,0)</f>
        <v>0</v>
      </c>
      <c r="BU58" s="484">
        <f>IF(AND(BU$4&lt;'Data entry'!$B$13,BU$4&lt;'Data entry'!$C$92),'Data entry'!$B$92,0)</f>
        <v>0</v>
      </c>
      <c r="BV58" s="484">
        <f>IF(AND(BV$4&lt;'Data entry'!$B$13,BV$4&lt;'Data entry'!$C$92),'Data entry'!$B$92,0)</f>
        <v>0</v>
      </c>
      <c r="BW58" s="484">
        <f>IF(AND(BW$4&lt;'Data entry'!$B$13,BW$4&lt;'Data entry'!$C$92),'Data entry'!$B$92,0)</f>
        <v>0</v>
      </c>
      <c r="BX58" s="484">
        <f>IF(AND(BX$4&lt;'Data entry'!$B$13,BX$4&lt;'Data entry'!$C$92),'Data entry'!$B$92,0)</f>
        <v>0</v>
      </c>
      <c r="BY58" s="484">
        <f>IF(AND(BY$4&lt;'Data entry'!$B$13,BY$4&lt;'Data entry'!$C$92),'Data entry'!$B$92,0)</f>
        <v>0</v>
      </c>
      <c r="BZ58" s="484">
        <f>IF(AND(BZ$4&lt;'Data entry'!$B$13,BZ$4&lt;'Data entry'!$C$92),'Data entry'!$B$92,0)</f>
        <v>0</v>
      </c>
      <c r="CA58" s="488">
        <f>IF(AND(CA$4&lt;'Data entry'!$B$13,CA$4&lt;'Data entry'!$C$92),'Data entry'!$B$92,0)</f>
        <v>0</v>
      </c>
      <c r="CB58" s="484">
        <f>IF(AND(CB$4&lt;'Data entry'!$B$13,CB$4&lt;'Data entry'!$C$92),'Data entry'!$B$92,0)</f>
        <v>0</v>
      </c>
      <c r="CC58" s="484">
        <f>IF(AND(CC$4&lt;'Data entry'!$B$13,CC$4&lt;'Data entry'!$C$92),'Data entry'!$B$92,0)</f>
        <v>0</v>
      </c>
      <c r="CD58" s="484">
        <f>IF(AND(CD$4&lt;'Data entry'!$B$13,CD$4&lt;'Data entry'!$C$92),'Data entry'!$B$92,0)</f>
        <v>0</v>
      </c>
      <c r="CE58" s="484">
        <f>IF(AND(CE$4&lt;'Data entry'!$B$13,CE$4&lt;'Data entry'!$C$92),'Data entry'!$B$92,0)</f>
        <v>0</v>
      </c>
      <c r="CF58" s="484">
        <f>IF(AND(CF$4&lt;'Data entry'!$B$13,CF$4&lt;'Data entry'!$C$92),'Data entry'!$B$92,0)</f>
        <v>0</v>
      </c>
      <c r="CG58" s="484">
        <f>IF(AND(CG$4&lt;'Data entry'!$B$13,CG$4&lt;'Data entry'!$C$92),'Data entry'!$B$92,0)</f>
        <v>0</v>
      </c>
      <c r="CH58" s="484">
        <f>IF(AND(CH$4&lt;'Data entry'!$B$13,CH$4&lt;'Data entry'!$C$92),'Data entry'!$B$92,0)</f>
        <v>0</v>
      </c>
      <c r="CI58" s="484">
        <f>IF(AND(CI$4&lt;'Data entry'!$B$13,CI$4&lt;'Data entry'!$C$92),'Data entry'!$B$92,0)</f>
        <v>0</v>
      </c>
      <c r="CJ58" s="484">
        <f>IF(AND(CJ$4&lt;'Data entry'!$B$13,CJ$4&lt;'Data entry'!$C$92),'Data entry'!$B$92,0)</f>
        <v>0</v>
      </c>
      <c r="CK58" s="484">
        <f>IF(AND(CK$4&lt;'Data entry'!$B$13,CK$4&lt;'Data entry'!$C$92),'Data entry'!$B$92,0)</f>
        <v>0</v>
      </c>
      <c r="CL58" s="484">
        <f>IF(AND(CL$4&lt;'Data entry'!$B$13,CL$4&lt;'Data entry'!$C$92),'Data entry'!$B$92,0)</f>
        <v>0</v>
      </c>
      <c r="CM58" s="484">
        <f>IF(AND(CM$4&lt;'Data entry'!$B$13,CM$4&lt;'Data entry'!$C$92),'Data entry'!$B$92,0)</f>
        <v>0</v>
      </c>
      <c r="CN58" s="484">
        <f>IF(AND(CN$4&lt;'Data entry'!$B$13,CN$4&lt;'Data entry'!$C$92),'Data entry'!$B$92,0)</f>
        <v>0</v>
      </c>
      <c r="CO58" s="484">
        <f>IF(AND(CO$4&lt;'Data entry'!$B$13,CO$4&lt;'Data entry'!$C$92),'Data entry'!$B$92,0)</f>
        <v>0</v>
      </c>
      <c r="CP58" s="484">
        <f>IF(AND(CP$4&lt;'Data entry'!$B$13,CP$4&lt;'Data entry'!$C$92),'Data entry'!$B$92,0)</f>
        <v>0</v>
      </c>
      <c r="CQ58" s="484">
        <f>IF(AND(CQ$4&lt;'Data entry'!$B$13,CQ$4&lt;'Data entry'!$C$92),'Data entry'!$B$92,0)</f>
        <v>0</v>
      </c>
      <c r="CR58" s="484">
        <f>IF(AND(CR$4&lt;'Data entry'!$B$13,CR$4&lt;'Data entry'!$C$92),'Data entry'!$B$92,0)</f>
        <v>0</v>
      </c>
      <c r="CS58" s="484">
        <f>IF(AND(CS$4&lt;'Data entry'!$B$13,CS$4&lt;'Data entry'!$C$92),'Data entry'!$B$92,0)</f>
        <v>0</v>
      </c>
      <c r="CT58" s="484">
        <f>IF(AND(CT$4&lt;'Data entry'!$B$13,CT$4&lt;'Data entry'!$C$92),'Data entry'!$B$92,0)</f>
        <v>0</v>
      </c>
      <c r="CU58" s="484">
        <f>IF(AND(CU$4&lt;'Data entry'!$B$13,CU$4&lt;'Data entry'!$C$92),'Data entry'!$B$92,0)</f>
        <v>0</v>
      </c>
      <c r="CV58" s="484">
        <f>IF(AND(CV$4&lt;'Data entry'!$B$13,CV$4&lt;'Data entry'!$C$92),'Data entry'!$B$92,0)</f>
        <v>0</v>
      </c>
      <c r="CW58" s="484">
        <f>IF(AND(CW$4&lt;'Data entry'!$B$13,CW$4&lt;'Data entry'!$C$92),'Data entry'!$B$92,0)</f>
        <v>0</v>
      </c>
      <c r="CX58" s="484">
        <f>IF(AND(CX$4&lt;'Data entry'!$B$13,CX$4&lt;'Data entry'!$C$92),'Data entry'!$B$92,0)</f>
        <v>0</v>
      </c>
      <c r="CY58" s="507">
        <f>IF(AND(CY$4&lt;'Data entry'!$B$13,CY$4&lt;'Data entry'!$C$92),'Data entry'!$B$92,0)</f>
        <v>0</v>
      </c>
    </row>
    <row r="59" spans="1:103" ht="15" customHeight="1" x14ac:dyDescent="0.35">
      <c r="A59" s="895" t="s">
        <v>39</v>
      </c>
      <c r="B59" s="288" t="str">
        <f>'Data entry'!A96</f>
        <v>One-off payments/sponsorships/donations (specify)</v>
      </c>
      <c r="C59" s="479">
        <f t="shared" si="16"/>
        <v>0</v>
      </c>
      <c r="D59" s="484">
        <f>IF(AND(D$4&lt;'Data entry'!$B$13,D$3='Data entry'!$C$96),'Data entry'!$B$96,0)</f>
        <v>0</v>
      </c>
      <c r="E59" s="484">
        <f>IF(AND(E$4&lt;'Data entry'!$B$13,E$3='Data entry'!$C$96),'Data entry'!$B$96,0)</f>
        <v>0</v>
      </c>
      <c r="F59" s="484">
        <f>IF(AND(F$4&lt;'Data entry'!$B$13,F$3='Data entry'!$C$96),'Data entry'!$B$96,0)</f>
        <v>0</v>
      </c>
      <c r="G59" s="484">
        <f>IF(AND(G$4&lt;'Data entry'!$B$13,G$3='Data entry'!$C$96),'Data entry'!$B$96,0)</f>
        <v>0</v>
      </c>
      <c r="H59" s="484">
        <f>IF(AND(H$4&lt;'Data entry'!$B$13,H$3='Data entry'!$C$96),'Data entry'!$B$96,0)</f>
        <v>0</v>
      </c>
      <c r="I59" s="484">
        <f>IF(AND(I$4&lt;'Data entry'!$B$13,I$3='Data entry'!$C$96),'Data entry'!$B$96,0)</f>
        <v>0</v>
      </c>
      <c r="J59" s="484">
        <f>IF(AND(J$4&lt;'Data entry'!$B$13,J$3='Data entry'!$C$96),'Data entry'!$B$96,0)</f>
        <v>0</v>
      </c>
      <c r="K59" s="484">
        <f>IF(AND(K$4&lt;'Data entry'!$B$13,K$3='Data entry'!$C$96),'Data entry'!$B$96,0)</f>
        <v>0</v>
      </c>
      <c r="L59" s="484">
        <f>IF(AND(L$4&lt;'Data entry'!$B$13,L$3='Data entry'!$C$96),'Data entry'!$B$96,0)</f>
        <v>0</v>
      </c>
      <c r="M59" s="484">
        <f>IF(AND(M$4&lt;'Data entry'!$B$13,M$3='Data entry'!$C$96),'Data entry'!$B$96,0)</f>
        <v>0</v>
      </c>
      <c r="N59" s="484">
        <f>IF(AND(N$4&lt;'Data entry'!$B$13,N$3='Data entry'!$C$96),'Data entry'!$B$96,0)</f>
        <v>0</v>
      </c>
      <c r="O59" s="484">
        <f>IF(AND(O$4&lt;'Data entry'!$B$13,O$3='Data entry'!$C$96),'Data entry'!$B$96,0)</f>
        <v>0</v>
      </c>
      <c r="P59" s="484">
        <f>IF(AND(P$4&lt;'Data entry'!$B$13,P$3='Data entry'!$C$96),'Data entry'!$B$96,0)</f>
        <v>0</v>
      </c>
      <c r="Q59" s="484">
        <f>IF(AND(Q$4&lt;'Data entry'!$B$13,Q$3='Data entry'!$C$96),'Data entry'!$B$96,0)</f>
        <v>0</v>
      </c>
      <c r="R59" s="484">
        <f>IF(AND(R$4&lt;'Data entry'!$B$13,R$3='Data entry'!$C$96),'Data entry'!$B$96,0)</f>
        <v>0</v>
      </c>
      <c r="S59" s="484">
        <f>IF(AND(S$4&lt;'Data entry'!$B$13,S$3='Data entry'!$C$96),'Data entry'!$B$96,0)</f>
        <v>0</v>
      </c>
      <c r="T59" s="484">
        <f>IF(AND(T$4&lt;'Data entry'!$B$13,T$3='Data entry'!$C$96),'Data entry'!$B$96,0)</f>
        <v>0</v>
      </c>
      <c r="U59" s="484">
        <f>IF(AND(U$4&lt;'Data entry'!$B$13,U$3='Data entry'!$C$96),'Data entry'!$B$96,0)</f>
        <v>0</v>
      </c>
      <c r="V59" s="484">
        <f>IF(AND(V$4&lt;'Data entry'!$B$13,V$3='Data entry'!$C$96),'Data entry'!$B$96,0)</f>
        <v>0</v>
      </c>
      <c r="W59" s="484">
        <f>IF(AND(W$4&lt;'Data entry'!$B$13,W$3='Data entry'!$C$96),'Data entry'!$B$96,0)</f>
        <v>0</v>
      </c>
      <c r="X59" s="484">
        <f>IF(AND(X$4&lt;'Data entry'!$B$13,X$3='Data entry'!$C$96),'Data entry'!$B$96,0)</f>
        <v>0</v>
      </c>
      <c r="Y59" s="484">
        <f>IF(AND(Y$4&lt;'Data entry'!$B$13,Y$3='Data entry'!$C$96),'Data entry'!$B$96,0)</f>
        <v>0</v>
      </c>
      <c r="Z59" s="484">
        <f>IF(AND(Z$4&lt;'Data entry'!$B$13,Z$3='Data entry'!$C$96),'Data entry'!$B$96,0)</f>
        <v>0</v>
      </c>
      <c r="AA59" s="484">
        <f>IF(AND(AA$4&lt;'Data entry'!$B$13,AA$3='Data entry'!$C$96),'Data entry'!$B$96,0)</f>
        <v>0</v>
      </c>
      <c r="AB59" s="484">
        <f>IF(AND(AB$4&lt;'Data entry'!$B$13,AB$3='Data entry'!$C$96),'Data entry'!$B$96,0)</f>
        <v>0</v>
      </c>
      <c r="AC59" s="484">
        <f>IF(AND(AC$4&lt;'Data entry'!$B$13,AC$3='Data entry'!$C$96),'Data entry'!$B$96,0)</f>
        <v>0</v>
      </c>
      <c r="AD59" s="484">
        <f>IF(AND(AD$4&lt;'Data entry'!$B$13,AD$3='Data entry'!$C$96),'Data entry'!$B$96,0)</f>
        <v>0</v>
      </c>
      <c r="AE59" s="484">
        <f>IF(AND(AE$4&lt;'Data entry'!$B$13,AE$3='Data entry'!$C$96),'Data entry'!$B$96,0)</f>
        <v>0</v>
      </c>
      <c r="AF59" s="484">
        <f>IF(AND(AF$4&lt;'Data entry'!$B$13,AF$3='Data entry'!$C$96),'Data entry'!$B$96,0)</f>
        <v>0</v>
      </c>
      <c r="AG59" s="484">
        <f>IF(AND(AG$4&lt;'Data entry'!$B$13,AG$3='Data entry'!$C$96),'Data entry'!$B$96,0)</f>
        <v>0</v>
      </c>
      <c r="AH59" s="484">
        <f>IF(AND(AH$4&lt;'Data entry'!$B$13,AH$3='Data entry'!$C$96),'Data entry'!$B$96,0)</f>
        <v>0</v>
      </c>
      <c r="AI59" s="484">
        <f>IF(AND(AI$4&lt;'Data entry'!$B$13,AI$3='Data entry'!$C$96),'Data entry'!$B$96,0)</f>
        <v>0</v>
      </c>
      <c r="AJ59" s="484">
        <f>IF(AND(AJ$4&lt;'Data entry'!$B$13,AJ$3='Data entry'!$C$96),'Data entry'!$B$96,0)</f>
        <v>0</v>
      </c>
      <c r="AK59" s="484">
        <f>IF(AND(AK$4&lt;'Data entry'!$B$13,AK$3='Data entry'!$C$96),'Data entry'!$B$96,0)</f>
        <v>0</v>
      </c>
      <c r="AL59" s="484">
        <f>IF(AND(AL$4&lt;'Data entry'!$B$13,AL$3='Data entry'!$C$96),'Data entry'!$B$96,0)</f>
        <v>0</v>
      </c>
      <c r="AM59" s="484">
        <f>IF(AND(AM$4&lt;'Data entry'!$B$13,AM$3='Data entry'!$C$96),'Data entry'!$B$96,0)</f>
        <v>0</v>
      </c>
      <c r="AN59" s="484">
        <f>IF(AND(AN$4&lt;'Data entry'!$B$13,AN$3='Data entry'!$C$96),'Data entry'!$B$96,0)</f>
        <v>0</v>
      </c>
      <c r="AO59" s="488">
        <f>IF(AND(AO$4&lt;'Data entry'!$B$13,AO$3='Data entry'!$C$96),'Data entry'!$B$96,0)</f>
        <v>0</v>
      </c>
      <c r="AP59" s="484">
        <f>IF(AND(AP$4&lt;'Data entry'!$B$13,AP$3='Data entry'!$C$96),'Data entry'!$B$96,0)</f>
        <v>0</v>
      </c>
      <c r="AQ59" s="484">
        <f>IF(AND(AQ$4&lt;'Data entry'!$B$13,AQ$3='Data entry'!$C$96),'Data entry'!$B$96,0)</f>
        <v>0</v>
      </c>
      <c r="AR59" s="484">
        <f>IF(AND(AR$4&lt;'Data entry'!$B$13,AR$3='Data entry'!$C$96),'Data entry'!$B$96,0)</f>
        <v>0</v>
      </c>
      <c r="AS59" s="484">
        <f>IF(AND(AS$4&lt;'Data entry'!$B$13,AS$3='Data entry'!$C$96),'Data entry'!$B$96,0)</f>
        <v>0</v>
      </c>
      <c r="AT59" s="484">
        <f>IF(AND(AT$4&lt;'Data entry'!$B$13,AT$3='Data entry'!$C$96),'Data entry'!$B$96,0)</f>
        <v>0</v>
      </c>
      <c r="AU59" s="484">
        <f>IF(AND(AU$4&lt;'Data entry'!$B$13,AU$3='Data entry'!$C$96),'Data entry'!$B$96,0)</f>
        <v>0</v>
      </c>
      <c r="AV59" s="484">
        <f>IF(AND(AV$4&lt;'Data entry'!$B$13,AV$3='Data entry'!$C$96),'Data entry'!$B$96,0)</f>
        <v>0</v>
      </c>
      <c r="AW59" s="484">
        <f>IF(AND(AW$4&lt;'Data entry'!$B$13,AW$3='Data entry'!$C$96),'Data entry'!$B$96,0)</f>
        <v>0</v>
      </c>
      <c r="AX59" s="484">
        <f>IF(AND(AX$4&lt;'Data entry'!$B$13,AX$3='Data entry'!$C$96),'Data entry'!$B$96,0)</f>
        <v>0</v>
      </c>
      <c r="AY59" s="484">
        <f>IF(AND(AY$4&lt;'Data entry'!$B$13,AY$3='Data entry'!$C$96),'Data entry'!$B$96,0)</f>
        <v>0</v>
      </c>
      <c r="AZ59" s="484">
        <f>IF(AND(AZ$4&lt;'Data entry'!$B$13,AZ$3='Data entry'!$C$96),'Data entry'!$B$96,0)</f>
        <v>0</v>
      </c>
      <c r="BA59" s="484">
        <f>IF(AND(BA$4&lt;'Data entry'!$B$13,BA$3='Data entry'!$C$96),'Data entry'!$B$96,0)</f>
        <v>0</v>
      </c>
      <c r="BB59" s="484">
        <f>IF(AND(BB$4&lt;'Data entry'!$B$13,BB$3='Data entry'!$C$96),'Data entry'!$B$96,0)</f>
        <v>0</v>
      </c>
      <c r="BC59" s="484">
        <f>IF(AND(BC$4&lt;'Data entry'!$B$13,BC$3='Data entry'!$C$96),'Data entry'!$B$96,0)</f>
        <v>0</v>
      </c>
      <c r="BD59" s="484">
        <f>IF(AND(BD$4&lt;'Data entry'!$B$13,BD$3='Data entry'!$C$96),'Data entry'!$B$96,0)</f>
        <v>0</v>
      </c>
      <c r="BE59" s="484">
        <f>IF(AND(BE$4&lt;'Data entry'!$B$13,BE$3='Data entry'!$C$96),'Data entry'!$B$96,0)</f>
        <v>0</v>
      </c>
      <c r="BF59" s="484">
        <f>IF(AND(BF$4&lt;'Data entry'!$B$13,BF$3='Data entry'!$C$96),'Data entry'!$B$96,0)</f>
        <v>0</v>
      </c>
      <c r="BG59" s="484">
        <f>IF(AND(BG$4&lt;'Data entry'!$B$13,BG$3='Data entry'!$C$96),'Data entry'!$B$96,0)</f>
        <v>0</v>
      </c>
      <c r="BH59" s="484">
        <f>IF(AND(BH$4&lt;'Data entry'!$B$13,BH$3='Data entry'!$C$96),'Data entry'!$B$96,0)</f>
        <v>0</v>
      </c>
      <c r="BI59" s="484">
        <f>IF(AND(BI$4&lt;'Data entry'!$B$13,BI$3='Data entry'!$C$96),'Data entry'!$B$96,0)</f>
        <v>0</v>
      </c>
      <c r="BJ59" s="484">
        <f>IF(AND(BJ$4&lt;'Data entry'!$B$13,BJ$3='Data entry'!$C$96),'Data entry'!$B$96,0)</f>
        <v>0</v>
      </c>
      <c r="BK59" s="488">
        <f>IF(AND(BK$4&lt;'Data entry'!$B$13,BK$3='Data entry'!$C$96),'Data entry'!$B$96,0)</f>
        <v>0</v>
      </c>
      <c r="BL59" s="484">
        <f>IF(AND(BL$4&lt;'Data entry'!$B$13,BL$3='Data entry'!$C$96),'Data entry'!$B$96,0)</f>
        <v>0</v>
      </c>
      <c r="BM59" s="484">
        <f>IF(AND(BM$4&lt;'Data entry'!$B$13,BM$3='Data entry'!$C$96),'Data entry'!$B$96,0)</f>
        <v>0</v>
      </c>
      <c r="BN59" s="484">
        <f>IF(AND(BN$4&lt;'Data entry'!$B$13,BN$3='Data entry'!$C$96),'Data entry'!$B$96,0)</f>
        <v>0</v>
      </c>
      <c r="BO59" s="484">
        <f>IF(AND(BO$4&lt;'Data entry'!$B$13,BO$3='Data entry'!$C$96),'Data entry'!$B$96,0)</f>
        <v>0</v>
      </c>
      <c r="BP59" s="484">
        <f>IF(AND(BP$4&lt;'Data entry'!$B$13,BP$3='Data entry'!$C$96),'Data entry'!$B$96,0)</f>
        <v>0</v>
      </c>
      <c r="BQ59" s="484">
        <f>IF(AND(BQ$4&lt;'Data entry'!$B$13,BQ$3='Data entry'!$C$96),'Data entry'!$B$96,0)</f>
        <v>0</v>
      </c>
      <c r="BR59" s="484">
        <f>IF(AND(BR$4&lt;'Data entry'!$B$13,BR$3='Data entry'!$C$96),'Data entry'!$B$96,0)</f>
        <v>0</v>
      </c>
      <c r="BS59" s="484">
        <f>IF(AND(BS$4&lt;'Data entry'!$B$13,BS$3='Data entry'!$C$96),'Data entry'!$B$96,0)</f>
        <v>0</v>
      </c>
      <c r="BT59" s="484">
        <f>IF(AND(BT$4&lt;'Data entry'!$B$13,BT$3='Data entry'!$C$96),'Data entry'!$B$96,0)</f>
        <v>0</v>
      </c>
      <c r="BU59" s="484">
        <f>IF(AND(BU$4&lt;'Data entry'!$B$13,BU$3='Data entry'!$C$96),'Data entry'!$B$96,0)</f>
        <v>0</v>
      </c>
      <c r="BV59" s="484">
        <f>IF(AND(BV$4&lt;'Data entry'!$B$13,BV$3='Data entry'!$C$96),'Data entry'!$B$96,0)</f>
        <v>0</v>
      </c>
      <c r="BW59" s="484">
        <f>IF(AND(BW$4&lt;'Data entry'!$B$13,BW$3='Data entry'!$C$96),'Data entry'!$B$96,0)</f>
        <v>0</v>
      </c>
      <c r="BX59" s="484">
        <f>IF(AND(BX$4&lt;'Data entry'!$B$13,BX$3='Data entry'!$C$96),'Data entry'!$B$96,0)</f>
        <v>0</v>
      </c>
      <c r="BY59" s="484">
        <f>IF(AND(BY$4&lt;'Data entry'!$B$13,BY$3='Data entry'!$C$96),'Data entry'!$B$96,0)</f>
        <v>0</v>
      </c>
      <c r="BZ59" s="484">
        <f>IF(AND(BZ$4&lt;'Data entry'!$B$13,BZ$3='Data entry'!$C$96),'Data entry'!$B$96,0)</f>
        <v>0</v>
      </c>
      <c r="CA59" s="488">
        <f>IF(AND(CA$4&lt;'Data entry'!$B$13,CA$3='Data entry'!$C$96),'Data entry'!$B$96,0)</f>
        <v>0</v>
      </c>
      <c r="CB59" s="484">
        <f>IF(AND(CB$4&lt;'Data entry'!$B$13,CB$3='Data entry'!$C$96),'Data entry'!$B$96,0)</f>
        <v>0</v>
      </c>
      <c r="CC59" s="484">
        <f>IF(AND(CC$4&lt;'Data entry'!$B$13,CC$3='Data entry'!$C$96),'Data entry'!$B$96,0)</f>
        <v>0</v>
      </c>
      <c r="CD59" s="484">
        <f>IF(AND(CD$4&lt;'Data entry'!$B$13,CD$3='Data entry'!$C$96),'Data entry'!$B$96,0)</f>
        <v>0</v>
      </c>
      <c r="CE59" s="484">
        <f>IF(AND(CE$4&lt;'Data entry'!$B$13,CE$3='Data entry'!$C$96),'Data entry'!$B$96,0)</f>
        <v>0</v>
      </c>
      <c r="CF59" s="484">
        <f>IF(AND(CF$4&lt;'Data entry'!$B$13,CF$3='Data entry'!$C$96),'Data entry'!$B$96,0)</f>
        <v>0</v>
      </c>
      <c r="CG59" s="484">
        <f>IF(AND(CG$4&lt;'Data entry'!$B$13,CG$3='Data entry'!$C$96),'Data entry'!$B$96,0)</f>
        <v>0</v>
      </c>
      <c r="CH59" s="484">
        <f>IF(AND(CH$4&lt;'Data entry'!$B$13,CH$3='Data entry'!$C$96),'Data entry'!$B$96,0)</f>
        <v>0</v>
      </c>
      <c r="CI59" s="484">
        <f>IF(AND(CI$4&lt;'Data entry'!$B$13,CI$3='Data entry'!$C$96),'Data entry'!$B$96,0)</f>
        <v>0</v>
      </c>
      <c r="CJ59" s="484">
        <f>IF(AND(CJ$4&lt;'Data entry'!$B$13,CJ$3='Data entry'!$C$96),'Data entry'!$B$96,0)</f>
        <v>0</v>
      </c>
      <c r="CK59" s="484">
        <f>IF(AND(CK$4&lt;'Data entry'!$B$13,CK$3='Data entry'!$C$96),'Data entry'!$B$96,0)</f>
        <v>0</v>
      </c>
      <c r="CL59" s="484">
        <f>IF(AND(CL$4&lt;'Data entry'!$B$13,CL$3='Data entry'!$C$96),'Data entry'!$B$96,0)</f>
        <v>0</v>
      </c>
      <c r="CM59" s="484">
        <f>IF(AND(CM$4&lt;'Data entry'!$B$13,CM$3='Data entry'!$C$96),'Data entry'!$B$96,0)</f>
        <v>0</v>
      </c>
      <c r="CN59" s="484">
        <f>IF(AND(CN$4&lt;'Data entry'!$B$13,CN$3='Data entry'!$C$96),'Data entry'!$B$96,0)</f>
        <v>0</v>
      </c>
      <c r="CO59" s="484">
        <f>IF(AND(CO$4&lt;'Data entry'!$B$13,CO$3='Data entry'!$C$96),'Data entry'!$B$96,0)</f>
        <v>0</v>
      </c>
      <c r="CP59" s="484">
        <f>IF(AND(CP$4&lt;'Data entry'!$B$13,CP$3='Data entry'!$C$96),'Data entry'!$B$96,0)</f>
        <v>0</v>
      </c>
      <c r="CQ59" s="484">
        <f>IF(AND(CQ$4&lt;'Data entry'!$B$13,CQ$3='Data entry'!$C$96),'Data entry'!$B$96,0)</f>
        <v>0</v>
      </c>
      <c r="CR59" s="484">
        <f>IF(AND(CR$4&lt;'Data entry'!$B$13,CR$3='Data entry'!$C$96),'Data entry'!$B$96,0)</f>
        <v>0</v>
      </c>
      <c r="CS59" s="484">
        <f>IF(AND(CS$4&lt;'Data entry'!$B$13,CS$3='Data entry'!$C$96),'Data entry'!$B$96,0)</f>
        <v>0</v>
      </c>
      <c r="CT59" s="484">
        <f>IF(AND(CT$4&lt;'Data entry'!$B$13,CT$3='Data entry'!$C$96),'Data entry'!$B$96,0)</f>
        <v>0</v>
      </c>
      <c r="CU59" s="484">
        <f>IF(AND(CU$4&lt;'Data entry'!$B$13,CU$3='Data entry'!$C$96),'Data entry'!$B$96,0)</f>
        <v>0</v>
      </c>
      <c r="CV59" s="484">
        <f>IF(AND(CV$4&lt;'Data entry'!$B$13,CV$3='Data entry'!$C$96),'Data entry'!$B$96,0)</f>
        <v>0</v>
      </c>
      <c r="CW59" s="484">
        <f>IF(AND(CW$4&lt;'Data entry'!$B$13,CW$3='Data entry'!$C$96),'Data entry'!$B$96,0)</f>
        <v>0</v>
      </c>
      <c r="CX59" s="484">
        <f>IF(AND(CX$4&lt;'Data entry'!$B$13,CX$3='Data entry'!$C$96),'Data entry'!$B$96,0)</f>
        <v>0</v>
      </c>
      <c r="CY59" s="507">
        <f>IF(AND(CY$4&lt;'Data entry'!$B$13,CY$3='Data entry'!$C$96),'Data entry'!$B$96,0)</f>
        <v>0</v>
      </c>
    </row>
    <row r="60" spans="1:103" ht="15" customHeight="1" x14ac:dyDescent="0.35">
      <c r="A60" s="895" t="s">
        <v>39</v>
      </c>
      <c r="B60" s="288" t="str">
        <f>'Data entry'!A97</f>
        <v>One-off payments/sponsorships/donations (specify)</v>
      </c>
      <c r="C60" s="479">
        <f t="shared" si="16"/>
        <v>0</v>
      </c>
      <c r="D60" s="484">
        <f>IF(AND(D$4&lt;'Data entry'!$B$13,D$3='Data entry'!$C$97),'Data entry'!$B$97,0)</f>
        <v>0</v>
      </c>
      <c r="E60" s="484">
        <f>IF(AND(E$4&lt;'Data entry'!$B$13,E$3='Data entry'!$C$97),'Data entry'!$B$97,0)</f>
        <v>0</v>
      </c>
      <c r="F60" s="484">
        <f>IF(AND(F$4&lt;'Data entry'!$B$13,F$3='Data entry'!$C$97),'Data entry'!$B$97,0)</f>
        <v>0</v>
      </c>
      <c r="G60" s="484">
        <f>IF(AND(G$4&lt;'Data entry'!$B$13,G$3='Data entry'!$C$97),'Data entry'!$B$97,0)</f>
        <v>0</v>
      </c>
      <c r="H60" s="484">
        <f>IF(AND(H$4&lt;'Data entry'!$B$13,H$3='Data entry'!$C$97),'Data entry'!$B$97,0)</f>
        <v>0</v>
      </c>
      <c r="I60" s="484">
        <f>IF(AND(I$4&lt;'Data entry'!$B$13,I$3='Data entry'!$C$97),'Data entry'!$B$97,0)</f>
        <v>0</v>
      </c>
      <c r="J60" s="484">
        <f>IF(AND(J$4&lt;'Data entry'!$B$13,J$3='Data entry'!$C$97),'Data entry'!$B$97,0)</f>
        <v>0</v>
      </c>
      <c r="K60" s="484">
        <f>IF(AND(K$4&lt;'Data entry'!$B$13,K$3='Data entry'!$C$97),'Data entry'!$B$97,0)</f>
        <v>0</v>
      </c>
      <c r="L60" s="484">
        <f>IF(AND(L$4&lt;'Data entry'!$B$13,L$3='Data entry'!$C$97),'Data entry'!$B$97,0)</f>
        <v>0</v>
      </c>
      <c r="M60" s="484">
        <f>IF(AND(M$4&lt;'Data entry'!$B$13,M$3='Data entry'!$C$97),'Data entry'!$B$97,0)</f>
        <v>0</v>
      </c>
      <c r="N60" s="484">
        <f>IF(AND(N$4&lt;'Data entry'!$B$13,N$3='Data entry'!$C$97),'Data entry'!$B$97,0)</f>
        <v>0</v>
      </c>
      <c r="O60" s="484">
        <f>IF(AND(O$4&lt;'Data entry'!$B$13,O$3='Data entry'!$C$97),'Data entry'!$B$97,0)</f>
        <v>0</v>
      </c>
      <c r="P60" s="484">
        <f>IF(AND(P$4&lt;'Data entry'!$B$13,P$3='Data entry'!$C$97),'Data entry'!$B$97,0)</f>
        <v>0</v>
      </c>
      <c r="Q60" s="484">
        <f>IF(AND(Q$4&lt;'Data entry'!$B$13,Q$3='Data entry'!$C$97),'Data entry'!$B$97,0)</f>
        <v>0</v>
      </c>
      <c r="R60" s="484">
        <f>IF(AND(R$4&lt;'Data entry'!$B$13,R$3='Data entry'!$C$97),'Data entry'!$B$97,0)</f>
        <v>0</v>
      </c>
      <c r="S60" s="484">
        <f>IF(AND(S$4&lt;'Data entry'!$B$13,S$3='Data entry'!$C$97),'Data entry'!$B$97,0)</f>
        <v>0</v>
      </c>
      <c r="T60" s="484">
        <f>IF(AND(T$4&lt;'Data entry'!$B$13,T$3='Data entry'!$C$97),'Data entry'!$B$97,0)</f>
        <v>0</v>
      </c>
      <c r="U60" s="484">
        <f>IF(AND(U$4&lt;'Data entry'!$B$13,U$3='Data entry'!$C$97),'Data entry'!$B$97,0)</f>
        <v>0</v>
      </c>
      <c r="V60" s="484">
        <f>IF(AND(V$4&lt;'Data entry'!$B$13,V$3='Data entry'!$C$97),'Data entry'!$B$97,0)</f>
        <v>0</v>
      </c>
      <c r="W60" s="484">
        <f>IF(AND(W$4&lt;'Data entry'!$B$13,W$3='Data entry'!$C$97),'Data entry'!$B$97,0)</f>
        <v>0</v>
      </c>
      <c r="X60" s="484">
        <f>IF(AND(X$4&lt;'Data entry'!$B$13,X$3='Data entry'!$C$97),'Data entry'!$B$97,0)</f>
        <v>0</v>
      </c>
      <c r="Y60" s="484">
        <f>IF(AND(Y$4&lt;'Data entry'!$B$13,Y$3='Data entry'!$C$97),'Data entry'!$B$97,0)</f>
        <v>0</v>
      </c>
      <c r="Z60" s="484">
        <f>IF(AND(Z$4&lt;'Data entry'!$B$13,Z$3='Data entry'!$C$97),'Data entry'!$B$97,0)</f>
        <v>0</v>
      </c>
      <c r="AA60" s="484">
        <f>IF(AND(AA$4&lt;'Data entry'!$B$13,AA$3='Data entry'!$C$97),'Data entry'!$B$97,0)</f>
        <v>0</v>
      </c>
      <c r="AB60" s="484">
        <f>IF(AND(AB$4&lt;'Data entry'!$B$13,AB$3='Data entry'!$C$97),'Data entry'!$B$97,0)</f>
        <v>0</v>
      </c>
      <c r="AC60" s="484">
        <f>IF(AND(AC$4&lt;'Data entry'!$B$13,AC$3='Data entry'!$C$97),'Data entry'!$B$97,0)</f>
        <v>0</v>
      </c>
      <c r="AD60" s="484">
        <f>IF(AND(AD$4&lt;'Data entry'!$B$13,AD$3='Data entry'!$C$97),'Data entry'!$B$97,0)</f>
        <v>0</v>
      </c>
      <c r="AE60" s="484">
        <f>IF(AND(AE$4&lt;'Data entry'!$B$13,AE$3='Data entry'!$C$97),'Data entry'!$B$97,0)</f>
        <v>0</v>
      </c>
      <c r="AF60" s="484">
        <f>IF(AND(AF$4&lt;'Data entry'!$B$13,AF$3='Data entry'!$C$97),'Data entry'!$B$97,0)</f>
        <v>0</v>
      </c>
      <c r="AG60" s="484">
        <f>IF(AND(AG$4&lt;'Data entry'!$B$13,AG$3='Data entry'!$C$97),'Data entry'!$B$97,0)</f>
        <v>0</v>
      </c>
      <c r="AH60" s="484">
        <f>IF(AND(AH$4&lt;'Data entry'!$B$13,AH$3='Data entry'!$C$97),'Data entry'!$B$97,0)</f>
        <v>0</v>
      </c>
      <c r="AI60" s="484">
        <f>IF(AND(AI$4&lt;'Data entry'!$B$13,AI$3='Data entry'!$C$97),'Data entry'!$B$97,0)</f>
        <v>0</v>
      </c>
      <c r="AJ60" s="484">
        <f>IF(AND(AJ$4&lt;'Data entry'!$B$13,AJ$3='Data entry'!$C$97),'Data entry'!$B$97,0)</f>
        <v>0</v>
      </c>
      <c r="AK60" s="484">
        <f>IF(AND(AK$4&lt;'Data entry'!$B$13,AK$3='Data entry'!$C$97),'Data entry'!$B$97,0)</f>
        <v>0</v>
      </c>
      <c r="AL60" s="484">
        <f>IF(AND(AL$4&lt;'Data entry'!$B$13,AL$3='Data entry'!$C$97),'Data entry'!$B$97,0)</f>
        <v>0</v>
      </c>
      <c r="AM60" s="484">
        <f>IF(AND(AM$4&lt;'Data entry'!$B$13,AM$3='Data entry'!$C$97),'Data entry'!$B$97,0)</f>
        <v>0</v>
      </c>
      <c r="AN60" s="484">
        <f>IF(AND(AN$4&lt;'Data entry'!$B$13,AN$3='Data entry'!$C$97),'Data entry'!$B$97,0)</f>
        <v>0</v>
      </c>
      <c r="AO60" s="488">
        <f>IF(AND(AO$4&lt;'Data entry'!$B$13,AO$3='Data entry'!$C$97),'Data entry'!$B$97,0)</f>
        <v>0</v>
      </c>
      <c r="AP60" s="484">
        <f>IF(AND(AP$4&lt;'Data entry'!$B$13,AP$3='Data entry'!$C$97),'Data entry'!$B$97,0)</f>
        <v>0</v>
      </c>
      <c r="AQ60" s="484">
        <f>IF(AND(AQ$4&lt;'Data entry'!$B$13,AQ$3='Data entry'!$C$97),'Data entry'!$B$97,0)</f>
        <v>0</v>
      </c>
      <c r="AR60" s="484">
        <f>IF(AND(AR$4&lt;'Data entry'!$B$13,AR$3='Data entry'!$C$97),'Data entry'!$B$97,0)</f>
        <v>0</v>
      </c>
      <c r="AS60" s="484">
        <f>IF(AND(AS$4&lt;'Data entry'!$B$13,AS$3='Data entry'!$C$97),'Data entry'!$B$97,0)</f>
        <v>0</v>
      </c>
      <c r="AT60" s="484">
        <f>IF(AND(AT$4&lt;'Data entry'!$B$13,AT$3='Data entry'!$C$97),'Data entry'!$B$97,0)</f>
        <v>0</v>
      </c>
      <c r="AU60" s="484">
        <f>IF(AND(AU$4&lt;'Data entry'!$B$13,AU$3='Data entry'!$C$97),'Data entry'!$B$97,0)</f>
        <v>0</v>
      </c>
      <c r="AV60" s="484">
        <f>IF(AND(AV$4&lt;'Data entry'!$B$13,AV$3='Data entry'!$C$97),'Data entry'!$B$97,0)</f>
        <v>0</v>
      </c>
      <c r="AW60" s="484">
        <f>IF(AND(AW$4&lt;'Data entry'!$B$13,AW$3='Data entry'!$C$97),'Data entry'!$B$97,0)</f>
        <v>0</v>
      </c>
      <c r="AX60" s="484">
        <f>IF(AND(AX$4&lt;'Data entry'!$B$13,AX$3='Data entry'!$C$97),'Data entry'!$B$97,0)</f>
        <v>0</v>
      </c>
      <c r="AY60" s="484">
        <f>IF(AND(AY$4&lt;'Data entry'!$B$13,AY$3='Data entry'!$C$97),'Data entry'!$B$97,0)</f>
        <v>0</v>
      </c>
      <c r="AZ60" s="484">
        <f>IF(AND(AZ$4&lt;'Data entry'!$B$13,AZ$3='Data entry'!$C$97),'Data entry'!$B$97,0)</f>
        <v>0</v>
      </c>
      <c r="BA60" s="484">
        <f>IF(AND(BA$4&lt;'Data entry'!$B$13,BA$3='Data entry'!$C$97),'Data entry'!$B$97,0)</f>
        <v>0</v>
      </c>
      <c r="BB60" s="484">
        <f>IF(AND(BB$4&lt;'Data entry'!$B$13,BB$3='Data entry'!$C$97),'Data entry'!$B$97,0)</f>
        <v>0</v>
      </c>
      <c r="BC60" s="484">
        <f>IF(AND(BC$4&lt;'Data entry'!$B$13,BC$3='Data entry'!$C$97),'Data entry'!$B$97,0)</f>
        <v>0</v>
      </c>
      <c r="BD60" s="484">
        <f>IF(AND(BD$4&lt;'Data entry'!$B$13,BD$3='Data entry'!$C$97),'Data entry'!$B$97,0)</f>
        <v>0</v>
      </c>
      <c r="BE60" s="484">
        <f>IF(AND(BE$4&lt;'Data entry'!$B$13,BE$3='Data entry'!$C$97),'Data entry'!$B$97,0)</f>
        <v>0</v>
      </c>
      <c r="BF60" s="484">
        <f>IF(AND(BF$4&lt;'Data entry'!$B$13,BF$3='Data entry'!$C$97),'Data entry'!$B$97,0)</f>
        <v>0</v>
      </c>
      <c r="BG60" s="484">
        <f>IF(AND(BG$4&lt;'Data entry'!$B$13,BG$3='Data entry'!$C$97),'Data entry'!$B$97,0)</f>
        <v>0</v>
      </c>
      <c r="BH60" s="484">
        <f>IF(AND(BH$4&lt;'Data entry'!$B$13,BH$3='Data entry'!$C$97),'Data entry'!$B$97,0)</f>
        <v>0</v>
      </c>
      <c r="BI60" s="484">
        <f>IF(AND(BI$4&lt;'Data entry'!$B$13,BI$3='Data entry'!$C$97),'Data entry'!$B$97,0)</f>
        <v>0</v>
      </c>
      <c r="BJ60" s="484">
        <f>IF(AND(BJ$4&lt;'Data entry'!$B$13,BJ$3='Data entry'!$C$97),'Data entry'!$B$97,0)</f>
        <v>0</v>
      </c>
      <c r="BK60" s="488">
        <f>IF(AND(BK$4&lt;'Data entry'!$B$13,BK$3='Data entry'!$C$97),'Data entry'!$B$97,0)</f>
        <v>0</v>
      </c>
      <c r="BL60" s="484">
        <f>IF(AND(BL$4&lt;'Data entry'!$B$13,BL$3='Data entry'!$C$97),'Data entry'!$B$97,0)</f>
        <v>0</v>
      </c>
      <c r="BM60" s="484">
        <f>IF(AND(BM$4&lt;'Data entry'!$B$13,BM$3='Data entry'!$C$97),'Data entry'!$B$97,0)</f>
        <v>0</v>
      </c>
      <c r="BN60" s="484">
        <f>IF(AND(BN$4&lt;'Data entry'!$B$13,BN$3='Data entry'!$C$97),'Data entry'!$B$97,0)</f>
        <v>0</v>
      </c>
      <c r="BO60" s="484">
        <f>IF(AND(BO$4&lt;'Data entry'!$B$13,BO$3='Data entry'!$C$97),'Data entry'!$B$97,0)</f>
        <v>0</v>
      </c>
      <c r="BP60" s="484">
        <f>IF(AND(BP$4&lt;'Data entry'!$B$13,BP$3='Data entry'!$C$97),'Data entry'!$B$97,0)</f>
        <v>0</v>
      </c>
      <c r="BQ60" s="484">
        <f>IF(AND(BQ$4&lt;'Data entry'!$B$13,BQ$3='Data entry'!$C$97),'Data entry'!$B$97,0)</f>
        <v>0</v>
      </c>
      <c r="BR60" s="484">
        <f>IF(AND(BR$4&lt;'Data entry'!$B$13,BR$3='Data entry'!$C$97),'Data entry'!$B$97,0)</f>
        <v>0</v>
      </c>
      <c r="BS60" s="484">
        <f>IF(AND(BS$4&lt;'Data entry'!$B$13,BS$3='Data entry'!$C$97),'Data entry'!$B$97,0)</f>
        <v>0</v>
      </c>
      <c r="BT60" s="484">
        <f>IF(AND(BT$4&lt;'Data entry'!$B$13,BT$3='Data entry'!$C$97),'Data entry'!$B$97,0)</f>
        <v>0</v>
      </c>
      <c r="BU60" s="484">
        <f>IF(AND(BU$4&lt;'Data entry'!$B$13,BU$3='Data entry'!$C$97),'Data entry'!$B$97,0)</f>
        <v>0</v>
      </c>
      <c r="BV60" s="484">
        <f>IF(AND(BV$4&lt;'Data entry'!$B$13,BV$3='Data entry'!$C$97),'Data entry'!$B$97,0)</f>
        <v>0</v>
      </c>
      <c r="BW60" s="484">
        <f>IF(AND(BW$4&lt;'Data entry'!$B$13,BW$3='Data entry'!$C$97),'Data entry'!$B$97,0)</f>
        <v>0</v>
      </c>
      <c r="BX60" s="484">
        <f>IF(AND(BX$4&lt;'Data entry'!$B$13,BX$3='Data entry'!$C$97),'Data entry'!$B$97,0)</f>
        <v>0</v>
      </c>
      <c r="BY60" s="484">
        <f>IF(AND(BY$4&lt;'Data entry'!$B$13,BY$3='Data entry'!$C$97),'Data entry'!$B$97,0)</f>
        <v>0</v>
      </c>
      <c r="BZ60" s="484">
        <f>IF(AND(BZ$4&lt;'Data entry'!$B$13,BZ$3='Data entry'!$C$97),'Data entry'!$B$97,0)</f>
        <v>0</v>
      </c>
      <c r="CA60" s="488">
        <f>IF(AND(CA$4&lt;'Data entry'!$B$13,CA$3='Data entry'!$C$97),'Data entry'!$B$97,0)</f>
        <v>0</v>
      </c>
      <c r="CB60" s="484">
        <f>IF(AND(CB$4&lt;'Data entry'!$B$13,CB$3='Data entry'!$C$97),'Data entry'!$B$97,0)</f>
        <v>0</v>
      </c>
      <c r="CC60" s="484">
        <f>IF(AND(CC$4&lt;'Data entry'!$B$13,CC$3='Data entry'!$C$97),'Data entry'!$B$97,0)</f>
        <v>0</v>
      </c>
      <c r="CD60" s="484">
        <f>IF(AND(CD$4&lt;'Data entry'!$B$13,CD$3='Data entry'!$C$97),'Data entry'!$B$97,0)</f>
        <v>0</v>
      </c>
      <c r="CE60" s="484">
        <f>IF(AND(CE$4&lt;'Data entry'!$B$13,CE$3='Data entry'!$C$97),'Data entry'!$B$97,0)</f>
        <v>0</v>
      </c>
      <c r="CF60" s="484">
        <f>IF(AND(CF$4&lt;'Data entry'!$B$13,CF$3='Data entry'!$C$97),'Data entry'!$B$97,0)</f>
        <v>0</v>
      </c>
      <c r="CG60" s="484">
        <f>IF(AND(CG$4&lt;'Data entry'!$B$13,CG$3='Data entry'!$C$97),'Data entry'!$B$97,0)</f>
        <v>0</v>
      </c>
      <c r="CH60" s="484">
        <f>IF(AND(CH$4&lt;'Data entry'!$B$13,CH$3='Data entry'!$C$97),'Data entry'!$B$97,0)</f>
        <v>0</v>
      </c>
      <c r="CI60" s="484">
        <f>IF(AND(CI$4&lt;'Data entry'!$B$13,CI$3='Data entry'!$C$97),'Data entry'!$B$97,0)</f>
        <v>0</v>
      </c>
      <c r="CJ60" s="484">
        <f>IF(AND(CJ$4&lt;'Data entry'!$B$13,CJ$3='Data entry'!$C$97),'Data entry'!$B$97,0)</f>
        <v>0</v>
      </c>
      <c r="CK60" s="484">
        <f>IF(AND(CK$4&lt;'Data entry'!$B$13,CK$3='Data entry'!$C$97),'Data entry'!$B$97,0)</f>
        <v>0</v>
      </c>
      <c r="CL60" s="484">
        <f>IF(AND(CL$4&lt;'Data entry'!$B$13,CL$3='Data entry'!$C$97),'Data entry'!$B$97,0)</f>
        <v>0</v>
      </c>
      <c r="CM60" s="484">
        <f>IF(AND(CM$4&lt;'Data entry'!$B$13,CM$3='Data entry'!$C$97),'Data entry'!$B$97,0)</f>
        <v>0</v>
      </c>
      <c r="CN60" s="484">
        <f>IF(AND(CN$4&lt;'Data entry'!$B$13,CN$3='Data entry'!$C$97),'Data entry'!$B$97,0)</f>
        <v>0</v>
      </c>
      <c r="CO60" s="484">
        <f>IF(AND(CO$4&lt;'Data entry'!$B$13,CO$3='Data entry'!$C$97),'Data entry'!$B$97,0)</f>
        <v>0</v>
      </c>
      <c r="CP60" s="484">
        <f>IF(AND(CP$4&lt;'Data entry'!$B$13,CP$3='Data entry'!$C$97),'Data entry'!$B$97,0)</f>
        <v>0</v>
      </c>
      <c r="CQ60" s="484">
        <f>IF(AND(CQ$4&lt;'Data entry'!$B$13,CQ$3='Data entry'!$C$97),'Data entry'!$B$97,0)</f>
        <v>0</v>
      </c>
      <c r="CR60" s="484">
        <f>IF(AND(CR$4&lt;'Data entry'!$B$13,CR$3='Data entry'!$C$97),'Data entry'!$B$97,0)</f>
        <v>0</v>
      </c>
      <c r="CS60" s="484">
        <f>IF(AND(CS$4&lt;'Data entry'!$B$13,CS$3='Data entry'!$C$97),'Data entry'!$B$97,0)</f>
        <v>0</v>
      </c>
      <c r="CT60" s="484">
        <f>IF(AND(CT$4&lt;'Data entry'!$B$13,CT$3='Data entry'!$C$97),'Data entry'!$B$97,0)</f>
        <v>0</v>
      </c>
      <c r="CU60" s="484">
        <f>IF(AND(CU$4&lt;'Data entry'!$B$13,CU$3='Data entry'!$C$97),'Data entry'!$B$97,0)</f>
        <v>0</v>
      </c>
      <c r="CV60" s="484">
        <f>IF(AND(CV$4&lt;'Data entry'!$B$13,CV$3='Data entry'!$C$97),'Data entry'!$B$97,0)</f>
        <v>0</v>
      </c>
      <c r="CW60" s="484">
        <f>IF(AND(CW$4&lt;'Data entry'!$B$13,CW$3='Data entry'!$C$97),'Data entry'!$B$97,0)</f>
        <v>0</v>
      </c>
      <c r="CX60" s="484">
        <f>IF(AND(CX$4&lt;'Data entry'!$B$13,CX$3='Data entry'!$C$97),'Data entry'!$B$97,0)</f>
        <v>0</v>
      </c>
      <c r="CY60" s="507">
        <f>IF(AND(CY$4&lt;'Data entry'!$B$13,CY$3='Data entry'!$C$97),'Data entry'!$B$97,0)</f>
        <v>0</v>
      </c>
    </row>
    <row r="61" spans="1:103" ht="15" customHeight="1" x14ac:dyDescent="0.35">
      <c r="A61" s="895" t="s">
        <v>39</v>
      </c>
      <c r="B61" s="288" t="str">
        <f>'Data entry'!A98</f>
        <v>One-off payments/sponsorships/donations (specify)</v>
      </c>
      <c r="C61" s="479">
        <f t="shared" si="16"/>
        <v>0</v>
      </c>
      <c r="D61" s="484">
        <f>IF(AND(D$4&lt;'Data entry'!$B$13,D$3='Data entry'!$C$98),'Data entry'!$B$98,0)</f>
        <v>0</v>
      </c>
      <c r="E61" s="484">
        <f>IF(AND(E$4&lt;'Data entry'!$B$13,E$3='Data entry'!$C$98),'Data entry'!$B$98,0)</f>
        <v>0</v>
      </c>
      <c r="F61" s="484">
        <f>IF(AND(F$4&lt;'Data entry'!$B$13,F$3='Data entry'!$C$98),'Data entry'!$B$98,0)</f>
        <v>0</v>
      </c>
      <c r="G61" s="484">
        <f>IF(AND(G$4&lt;'Data entry'!$B$13,G$3='Data entry'!$C$98),'Data entry'!$B$98,0)</f>
        <v>0</v>
      </c>
      <c r="H61" s="484">
        <f>IF(AND(H$4&lt;'Data entry'!$B$13,H$3='Data entry'!$C$98),'Data entry'!$B$98,0)</f>
        <v>0</v>
      </c>
      <c r="I61" s="484">
        <f>IF(AND(I$4&lt;'Data entry'!$B$13,I$3='Data entry'!$C$98),'Data entry'!$B$98,0)</f>
        <v>0</v>
      </c>
      <c r="J61" s="484">
        <f>IF(AND(J$4&lt;'Data entry'!$B$13,J$3='Data entry'!$C$98),'Data entry'!$B$98,0)</f>
        <v>0</v>
      </c>
      <c r="K61" s="484">
        <f>IF(AND(K$4&lt;'Data entry'!$B$13,K$3='Data entry'!$C$98),'Data entry'!$B$98,0)</f>
        <v>0</v>
      </c>
      <c r="L61" s="484">
        <f>IF(AND(L$4&lt;'Data entry'!$B$13,L$3='Data entry'!$C$98),'Data entry'!$B$98,0)</f>
        <v>0</v>
      </c>
      <c r="M61" s="484">
        <f>IF(AND(M$4&lt;'Data entry'!$B$13,M$3='Data entry'!$C$98),'Data entry'!$B$98,0)</f>
        <v>0</v>
      </c>
      <c r="N61" s="484">
        <f>IF(AND(N$4&lt;'Data entry'!$B$13,N$3='Data entry'!$C$98),'Data entry'!$B$98,0)</f>
        <v>0</v>
      </c>
      <c r="O61" s="484">
        <f>IF(AND(O$4&lt;'Data entry'!$B$13,O$3='Data entry'!$C$98),'Data entry'!$B$98,0)</f>
        <v>0</v>
      </c>
      <c r="P61" s="484">
        <f>IF(AND(P$4&lt;'Data entry'!$B$13,P$3='Data entry'!$C$98),'Data entry'!$B$98,0)</f>
        <v>0</v>
      </c>
      <c r="Q61" s="484">
        <f>IF(AND(Q$4&lt;'Data entry'!$B$13,Q$3='Data entry'!$C$98),'Data entry'!$B$98,0)</f>
        <v>0</v>
      </c>
      <c r="R61" s="484">
        <f>IF(AND(R$4&lt;'Data entry'!$B$13,R$3='Data entry'!$C$98),'Data entry'!$B$98,0)</f>
        <v>0</v>
      </c>
      <c r="S61" s="484">
        <f>IF(AND(S$4&lt;'Data entry'!$B$13,S$3='Data entry'!$C$98),'Data entry'!$B$98,0)</f>
        <v>0</v>
      </c>
      <c r="T61" s="484">
        <f>IF(AND(T$4&lt;'Data entry'!$B$13,T$3='Data entry'!$C$98),'Data entry'!$B$98,0)</f>
        <v>0</v>
      </c>
      <c r="U61" s="484">
        <f>IF(AND(U$4&lt;'Data entry'!$B$13,U$3='Data entry'!$C$98),'Data entry'!$B$98,0)</f>
        <v>0</v>
      </c>
      <c r="V61" s="484">
        <f>IF(AND(V$4&lt;'Data entry'!$B$13,V$3='Data entry'!$C$98),'Data entry'!$B$98,0)</f>
        <v>0</v>
      </c>
      <c r="W61" s="484">
        <f>IF(AND(W$4&lt;'Data entry'!$B$13,W$3='Data entry'!$C$98),'Data entry'!$B$98,0)</f>
        <v>0</v>
      </c>
      <c r="X61" s="484">
        <f>IF(AND(X$4&lt;'Data entry'!$B$13,X$3='Data entry'!$C$98),'Data entry'!$B$98,0)</f>
        <v>0</v>
      </c>
      <c r="Y61" s="484">
        <f>IF(AND(Y$4&lt;'Data entry'!$B$13,Y$3='Data entry'!$C$98),'Data entry'!$B$98,0)</f>
        <v>0</v>
      </c>
      <c r="Z61" s="484">
        <f>IF(AND(Z$4&lt;'Data entry'!$B$13,Z$3='Data entry'!$C$98),'Data entry'!$B$98,0)</f>
        <v>0</v>
      </c>
      <c r="AA61" s="484">
        <f>IF(AND(AA$4&lt;'Data entry'!$B$13,AA$3='Data entry'!$C$98),'Data entry'!$B$98,0)</f>
        <v>0</v>
      </c>
      <c r="AB61" s="484">
        <f>IF(AND(AB$4&lt;'Data entry'!$B$13,AB$3='Data entry'!$C$98),'Data entry'!$B$98,0)</f>
        <v>0</v>
      </c>
      <c r="AC61" s="484">
        <f>IF(AND(AC$4&lt;'Data entry'!$B$13,AC$3='Data entry'!$C$98),'Data entry'!$B$98,0)</f>
        <v>0</v>
      </c>
      <c r="AD61" s="484">
        <f>IF(AND(AD$4&lt;'Data entry'!$B$13,AD$3='Data entry'!$C$98),'Data entry'!$B$98,0)</f>
        <v>0</v>
      </c>
      <c r="AE61" s="484">
        <f>IF(AND(AE$4&lt;'Data entry'!$B$13,AE$3='Data entry'!$C$98),'Data entry'!$B$98,0)</f>
        <v>0</v>
      </c>
      <c r="AF61" s="484">
        <f>IF(AND(AF$4&lt;'Data entry'!$B$13,AF$3='Data entry'!$C$98),'Data entry'!$B$98,0)</f>
        <v>0</v>
      </c>
      <c r="AG61" s="484">
        <f>IF(AND(AG$4&lt;'Data entry'!$B$13,AG$3='Data entry'!$C$98),'Data entry'!$B$98,0)</f>
        <v>0</v>
      </c>
      <c r="AH61" s="484">
        <f>IF(AND(AH$4&lt;'Data entry'!$B$13,AH$3='Data entry'!$C$98),'Data entry'!$B$98,0)</f>
        <v>0</v>
      </c>
      <c r="AI61" s="484">
        <f>IF(AND(AI$4&lt;'Data entry'!$B$13,AI$3='Data entry'!$C$98),'Data entry'!$B$98,0)</f>
        <v>0</v>
      </c>
      <c r="AJ61" s="484">
        <f>IF(AND(AJ$4&lt;'Data entry'!$B$13,AJ$3='Data entry'!$C$98),'Data entry'!$B$98,0)</f>
        <v>0</v>
      </c>
      <c r="AK61" s="484">
        <f>IF(AND(AK$4&lt;'Data entry'!$B$13,AK$3='Data entry'!$C$98),'Data entry'!$B$98,0)</f>
        <v>0</v>
      </c>
      <c r="AL61" s="484">
        <f>IF(AND(AL$4&lt;'Data entry'!$B$13,AL$3='Data entry'!$C$98),'Data entry'!$B$98,0)</f>
        <v>0</v>
      </c>
      <c r="AM61" s="484">
        <f>IF(AND(AM$4&lt;'Data entry'!$B$13,AM$3='Data entry'!$C$98),'Data entry'!$B$98,0)</f>
        <v>0</v>
      </c>
      <c r="AN61" s="484">
        <f>IF(AND(AN$4&lt;'Data entry'!$B$13,AN$3='Data entry'!$C$98),'Data entry'!$B$98,0)</f>
        <v>0</v>
      </c>
      <c r="AO61" s="488">
        <f>IF(AND(AO$4&lt;'Data entry'!$B$13,AO$3='Data entry'!$C$98),'Data entry'!$B$98,0)</f>
        <v>0</v>
      </c>
      <c r="AP61" s="484">
        <f>IF(AND(AP$4&lt;'Data entry'!$B$13,AP$3='Data entry'!$C$98),'Data entry'!$B$98,0)</f>
        <v>0</v>
      </c>
      <c r="AQ61" s="484">
        <f>IF(AND(AQ$4&lt;'Data entry'!$B$13,AQ$3='Data entry'!$C$98),'Data entry'!$B$98,0)</f>
        <v>0</v>
      </c>
      <c r="AR61" s="484">
        <f>IF(AND(AR$4&lt;'Data entry'!$B$13,AR$3='Data entry'!$C$98),'Data entry'!$B$98,0)</f>
        <v>0</v>
      </c>
      <c r="AS61" s="484">
        <f>IF(AND(AS$4&lt;'Data entry'!$B$13,AS$3='Data entry'!$C$98),'Data entry'!$B$98,0)</f>
        <v>0</v>
      </c>
      <c r="AT61" s="484">
        <f>IF(AND(AT$4&lt;'Data entry'!$B$13,AT$3='Data entry'!$C$98),'Data entry'!$B$98,0)</f>
        <v>0</v>
      </c>
      <c r="AU61" s="484">
        <f>IF(AND(AU$4&lt;'Data entry'!$B$13,AU$3='Data entry'!$C$98),'Data entry'!$B$98,0)</f>
        <v>0</v>
      </c>
      <c r="AV61" s="484">
        <f>IF(AND(AV$4&lt;'Data entry'!$B$13,AV$3='Data entry'!$C$98),'Data entry'!$B$98,0)</f>
        <v>0</v>
      </c>
      <c r="AW61" s="484">
        <f>IF(AND(AW$4&lt;'Data entry'!$B$13,AW$3='Data entry'!$C$98),'Data entry'!$B$98,0)</f>
        <v>0</v>
      </c>
      <c r="AX61" s="484">
        <f>IF(AND(AX$4&lt;'Data entry'!$B$13,AX$3='Data entry'!$C$98),'Data entry'!$B$98,0)</f>
        <v>0</v>
      </c>
      <c r="AY61" s="484">
        <f>IF(AND(AY$4&lt;'Data entry'!$B$13,AY$3='Data entry'!$C$98),'Data entry'!$B$98,0)</f>
        <v>0</v>
      </c>
      <c r="AZ61" s="484">
        <f>IF(AND(AZ$4&lt;'Data entry'!$B$13,AZ$3='Data entry'!$C$98),'Data entry'!$B$98,0)</f>
        <v>0</v>
      </c>
      <c r="BA61" s="484">
        <f>IF(AND(BA$4&lt;'Data entry'!$B$13,BA$3='Data entry'!$C$98),'Data entry'!$B$98,0)</f>
        <v>0</v>
      </c>
      <c r="BB61" s="484">
        <f>IF(AND(BB$4&lt;'Data entry'!$B$13,BB$3='Data entry'!$C$98),'Data entry'!$B$98,0)</f>
        <v>0</v>
      </c>
      <c r="BC61" s="484">
        <f>IF(AND(BC$4&lt;'Data entry'!$B$13,BC$3='Data entry'!$C$98),'Data entry'!$B$98,0)</f>
        <v>0</v>
      </c>
      <c r="BD61" s="484">
        <f>IF(AND(BD$4&lt;'Data entry'!$B$13,BD$3='Data entry'!$C$98),'Data entry'!$B$98,0)</f>
        <v>0</v>
      </c>
      <c r="BE61" s="484">
        <f>IF(AND(BE$4&lt;'Data entry'!$B$13,BE$3='Data entry'!$C$98),'Data entry'!$B$98,0)</f>
        <v>0</v>
      </c>
      <c r="BF61" s="484">
        <f>IF(AND(BF$4&lt;'Data entry'!$B$13,BF$3='Data entry'!$C$98),'Data entry'!$B$98,0)</f>
        <v>0</v>
      </c>
      <c r="BG61" s="484">
        <f>IF(AND(BG$4&lt;'Data entry'!$B$13,BG$3='Data entry'!$C$98),'Data entry'!$B$98,0)</f>
        <v>0</v>
      </c>
      <c r="BH61" s="484">
        <f>IF(AND(BH$4&lt;'Data entry'!$B$13,BH$3='Data entry'!$C$98),'Data entry'!$B$98,0)</f>
        <v>0</v>
      </c>
      <c r="BI61" s="484">
        <f>IF(AND(BI$4&lt;'Data entry'!$B$13,BI$3='Data entry'!$C$98),'Data entry'!$B$98,0)</f>
        <v>0</v>
      </c>
      <c r="BJ61" s="484">
        <f>IF(AND(BJ$4&lt;'Data entry'!$B$13,BJ$3='Data entry'!$C$98),'Data entry'!$B$98,0)</f>
        <v>0</v>
      </c>
      <c r="BK61" s="488">
        <f>IF(AND(BK$4&lt;'Data entry'!$B$13,BK$3='Data entry'!$C$98),'Data entry'!$B$98,0)</f>
        <v>0</v>
      </c>
      <c r="BL61" s="484">
        <f>IF(AND(BL$4&lt;'Data entry'!$B$13,BL$3='Data entry'!$C$98),'Data entry'!$B$98,0)</f>
        <v>0</v>
      </c>
      <c r="BM61" s="484">
        <f>IF(AND(BM$4&lt;'Data entry'!$B$13,BM$3='Data entry'!$C$98),'Data entry'!$B$98,0)</f>
        <v>0</v>
      </c>
      <c r="BN61" s="484">
        <f>IF(AND(BN$4&lt;'Data entry'!$B$13,BN$3='Data entry'!$C$98),'Data entry'!$B$98,0)</f>
        <v>0</v>
      </c>
      <c r="BO61" s="484">
        <f>IF(AND(BO$4&lt;'Data entry'!$B$13,BO$3='Data entry'!$C$98),'Data entry'!$B$98,0)</f>
        <v>0</v>
      </c>
      <c r="BP61" s="484">
        <f>IF(AND(BP$4&lt;'Data entry'!$B$13,BP$3='Data entry'!$C$98),'Data entry'!$B$98,0)</f>
        <v>0</v>
      </c>
      <c r="BQ61" s="484">
        <f>IF(AND(BQ$4&lt;'Data entry'!$B$13,BQ$3='Data entry'!$C$98),'Data entry'!$B$98,0)</f>
        <v>0</v>
      </c>
      <c r="BR61" s="484">
        <f>IF(AND(BR$4&lt;'Data entry'!$B$13,BR$3='Data entry'!$C$98),'Data entry'!$B$98,0)</f>
        <v>0</v>
      </c>
      <c r="BS61" s="484">
        <f>IF(AND(BS$4&lt;'Data entry'!$B$13,BS$3='Data entry'!$C$98),'Data entry'!$B$98,0)</f>
        <v>0</v>
      </c>
      <c r="BT61" s="484">
        <f>IF(AND(BT$4&lt;'Data entry'!$B$13,BT$3='Data entry'!$C$98),'Data entry'!$B$98,0)</f>
        <v>0</v>
      </c>
      <c r="BU61" s="484">
        <f>IF(AND(BU$4&lt;'Data entry'!$B$13,BU$3='Data entry'!$C$98),'Data entry'!$B$98,0)</f>
        <v>0</v>
      </c>
      <c r="BV61" s="484">
        <f>IF(AND(BV$4&lt;'Data entry'!$B$13,BV$3='Data entry'!$C$98),'Data entry'!$B$98,0)</f>
        <v>0</v>
      </c>
      <c r="BW61" s="484">
        <f>IF(AND(BW$4&lt;'Data entry'!$B$13,BW$3='Data entry'!$C$98),'Data entry'!$B$98,0)</f>
        <v>0</v>
      </c>
      <c r="BX61" s="484">
        <f>IF(AND(BX$4&lt;'Data entry'!$B$13,BX$3='Data entry'!$C$98),'Data entry'!$B$98,0)</f>
        <v>0</v>
      </c>
      <c r="BY61" s="484">
        <f>IF(AND(BY$4&lt;'Data entry'!$B$13,BY$3='Data entry'!$C$98),'Data entry'!$B$98,0)</f>
        <v>0</v>
      </c>
      <c r="BZ61" s="484">
        <f>IF(AND(BZ$4&lt;'Data entry'!$B$13,BZ$3='Data entry'!$C$98),'Data entry'!$B$98,0)</f>
        <v>0</v>
      </c>
      <c r="CA61" s="488">
        <f>IF(AND(CA$4&lt;'Data entry'!$B$13,CA$3='Data entry'!$C$98),'Data entry'!$B$98,0)</f>
        <v>0</v>
      </c>
      <c r="CB61" s="484">
        <f>IF(AND(CB$4&lt;'Data entry'!$B$13,CB$3='Data entry'!$C$98),'Data entry'!$B$98,0)</f>
        <v>0</v>
      </c>
      <c r="CC61" s="484">
        <f>IF(AND(CC$4&lt;'Data entry'!$B$13,CC$3='Data entry'!$C$98),'Data entry'!$B$98,0)</f>
        <v>0</v>
      </c>
      <c r="CD61" s="484">
        <f>IF(AND(CD$4&lt;'Data entry'!$B$13,CD$3='Data entry'!$C$98),'Data entry'!$B$98,0)</f>
        <v>0</v>
      </c>
      <c r="CE61" s="484">
        <f>IF(AND(CE$4&lt;'Data entry'!$B$13,CE$3='Data entry'!$C$98),'Data entry'!$B$98,0)</f>
        <v>0</v>
      </c>
      <c r="CF61" s="484">
        <f>IF(AND(CF$4&lt;'Data entry'!$B$13,CF$3='Data entry'!$C$98),'Data entry'!$B$98,0)</f>
        <v>0</v>
      </c>
      <c r="CG61" s="484">
        <f>IF(AND(CG$4&lt;'Data entry'!$B$13,CG$3='Data entry'!$C$98),'Data entry'!$B$98,0)</f>
        <v>0</v>
      </c>
      <c r="CH61" s="484">
        <f>IF(AND(CH$4&lt;'Data entry'!$B$13,CH$3='Data entry'!$C$98),'Data entry'!$B$98,0)</f>
        <v>0</v>
      </c>
      <c r="CI61" s="484">
        <f>IF(AND(CI$4&lt;'Data entry'!$B$13,CI$3='Data entry'!$C$98),'Data entry'!$B$98,0)</f>
        <v>0</v>
      </c>
      <c r="CJ61" s="484">
        <f>IF(AND(CJ$4&lt;'Data entry'!$B$13,CJ$3='Data entry'!$C$98),'Data entry'!$B$98,0)</f>
        <v>0</v>
      </c>
      <c r="CK61" s="484">
        <f>IF(AND(CK$4&lt;'Data entry'!$B$13,CK$3='Data entry'!$C$98),'Data entry'!$B$98,0)</f>
        <v>0</v>
      </c>
      <c r="CL61" s="484">
        <f>IF(AND(CL$4&lt;'Data entry'!$B$13,CL$3='Data entry'!$C$98),'Data entry'!$B$98,0)</f>
        <v>0</v>
      </c>
      <c r="CM61" s="484">
        <f>IF(AND(CM$4&lt;'Data entry'!$B$13,CM$3='Data entry'!$C$98),'Data entry'!$B$98,0)</f>
        <v>0</v>
      </c>
      <c r="CN61" s="484">
        <f>IF(AND(CN$4&lt;'Data entry'!$B$13,CN$3='Data entry'!$C$98),'Data entry'!$B$98,0)</f>
        <v>0</v>
      </c>
      <c r="CO61" s="484">
        <f>IF(AND(CO$4&lt;'Data entry'!$B$13,CO$3='Data entry'!$C$98),'Data entry'!$B$98,0)</f>
        <v>0</v>
      </c>
      <c r="CP61" s="484">
        <f>IF(AND(CP$4&lt;'Data entry'!$B$13,CP$3='Data entry'!$C$98),'Data entry'!$B$98,0)</f>
        <v>0</v>
      </c>
      <c r="CQ61" s="484">
        <f>IF(AND(CQ$4&lt;'Data entry'!$B$13,CQ$3='Data entry'!$C$98),'Data entry'!$B$98,0)</f>
        <v>0</v>
      </c>
      <c r="CR61" s="484">
        <f>IF(AND(CR$4&lt;'Data entry'!$B$13,CR$3='Data entry'!$C$98),'Data entry'!$B$98,0)</f>
        <v>0</v>
      </c>
      <c r="CS61" s="484">
        <f>IF(AND(CS$4&lt;'Data entry'!$B$13,CS$3='Data entry'!$C$98),'Data entry'!$B$98,0)</f>
        <v>0</v>
      </c>
      <c r="CT61" s="484">
        <f>IF(AND(CT$4&lt;'Data entry'!$B$13,CT$3='Data entry'!$C$98),'Data entry'!$B$98,0)</f>
        <v>0</v>
      </c>
      <c r="CU61" s="484">
        <f>IF(AND(CU$4&lt;'Data entry'!$B$13,CU$3='Data entry'!$C$98),'Data entry'!$B$98,0)</f>
        <v>0</v>
      </c>
      <c r="CV61" s="484">
        <f>IF(AND(CV$4&lt;'Data entry'!$B$13,CV$3='Data entry'!$C$98),'Data entry'!$B$98,0)</f>
        <v>0</v>
      </c>
      <c r="CW61" s="484">
        <f>IF(AND(CW$4&lt;'Data entry'!$B$13,CW$3='Data entry'!$C$98),'Data entry'!$B$98,0)</f>
        <v>0</v>
      </c>
      <c r="CX61" s="484">
        <f>IF(AND(CX$4&lt;'Data entry'!$B$13,CX$3='Data entry'!$C$98),'Data entry'!$B$98,0)</f>
        <v>0</v>
      </c>
      <c r="CY61" s="507">
        <f>IF(AND(CY$4&lt;'Data entry'!$B$13,CY$3='Data entry'!$C$98),'Data entry'!$B$98,0)</f>
        <v>0</v>
      </c>
    </row>
    <row r="62" spans="1:103" ht="15" customHeight="1" thickBot="1" x14ac:dyDescent="0.4">
      <c r="A62" s="899" t="s">
        <v>2</v>
      </c>
      <c r="B62" s="508"/>
      <c r="C62" s="528">
        <f t="shared" ref="C62:AH62" si="19">SUM(C52:C61)</f>
        <v>0</v>
      </c>
      <c r="D62" s="510">
        <f t="shared" si="19"/>
        <v>0</v>
      </c>
      <c r="E62" s="510">
        <f t="shared" si="19"/>
        <v>0</v>
      </c>
      <c r="F62" s="510">
        <f t="shared" si="19"/>
        <v>0</v>
      </c>
      <c r="G62" s="510">
        <f t="shared" si="19"/>
        <v>0</v>
      </c>
      <c r="H62" s="510">
        <f t="shared" si="19"/>
        <v>0</v>
      </c>
      <c r="I62" s="510">
        <f t="shared" si="19"/>
        <v>0</v>
      </c>
      <c r="J62" s="510">
        <f t="shared" si="19"/>
        <v>0</v>
      </c>
      <c r="K62" s="510">
        <f t="shared" si="19"/>
        <v>0</v>
      </c>
      <c r="L62" s="510">
        <f t="shared" si="19"/>
        <v>0</v>
      </c>
      <c r="M62" s="510">
        <f t="shared" si="19"/>
        <v>0</v>
      </c>
      <c r="N62" s="510">
        <f t="shared" si="19"/>
        <v>0</v>
      </c>
      <c r="O62" s="510">
        <f t="shared" si="19"/>
        <v>0</v>
      </c>
      <c r="P62" s="510">
        <f t="shared" si="19"/>
        <v>0</v>
      </c>
      <c r="Q62" s="510">
        <f t="shared" si="19"/>
        <v>0</v>
      </c>
      <c r="R62" s="510">
        <f t="shared" si="19"/>
        <v>0</v>
      </c>
      <c r="S62" s="510">
        <f t="shared" si="19"/>
        <v>0</v>
      </c>
      <c r="T62" s="510">
        <f t="shared" si="19"/>
        <v>0</v>
      </c>
      <c r="U62" s="510">
        <f t="shared" si="19"/>
        <v>0</v>
      </c>
      <c r="V62" s="510">
        <f t="shared" si="19"/>
        <v>0</v>
      </c>
      <c r="W62" s="510">
        <f t="shared" si="19"/>
        <v>0</v>
      </c>
      <c r="X62" s="510">
        <f t="shared" si="19"/>
        <v>0</v>
      </c>
      <c r="Y62" s="510">
        <f t="shared" si="19"/>
        <v>0</v>
      </c>
      <c r="Z62" s="510">
        <f t="shared" si="19"/>
        <v>0</v>
      </c>
      <c r="AA62" s="510">
        <f t="shared" si="19"/>
        <v>0</v>
      </c>
      <c r="AB62" s="510">
        <f t="shared" si="19"/>
        <v>0</v>
      </c>
      <c r="AC62" s="510">
        <f t="shared" si="19"/>
        <v>0</v>
      </c>
      <c r="AD62" s="510">
        <f t="shared" si="19"/>
        <v>0</v>
      </c>
      <c r="AE62" s="510">
        <f t="shared" si="19"/>
        <v>0</v>
      </c>
      <c r="AF62" s="510">
        <f t="shared" si="19"/>
        <v>0</v>
      </c>
      <c r="AG62" s="510">
        <f t="shared" si="19"/>
        <v>0</v>
      </c>
      <c r="AH62" s="510">
        <f t="shared" si="19"/>
        <v>0</v>
      </c>
      <c r="AI62" s="510">
        <f t="shared" ref="AI62:BN62" si="20">SUM(AI52:AI61)</f>
        <v>0</v>
      </c>
      <c r="AJ62" s="510">
        <f t="shared" si="20"/>
        <v>0</v>
      </c>
      <c r="AK62" s="510">
        <f t="shared" si="20"/>
        <v>0</v>
      </c>
      <c r="AL62" s="510">
        <f t="shared" si="20"/>
        <v>0</v>
      </c>
      <c r="AM62" s="510">
        <f t="shared" si="20"/>
        <v>0</v>
      </c>
      <c r="AN62" s="510">
        <f t="shared" si="20"/>
        <v>0</v>
      </c>
      <c r="AO62" s="511">
        <f t="shared" si="20"/>
        <v>0</v>
      </c>
      <c r="AP62" s="510">
        <f t="shared" si="20"/>
        <v>0</v>
      </c>
      <c r="AQ62" s="510">
        <f t="shared" si="20"/>
        <v>0</v>
      </c>
      <c r="AR62" s="510">
        <f t="shared" si="20"/>
        <v>0</v>
      </c>
      <c r="AS62" s="510">
        <f t="shared" si="20"/>
        <v>0</v>
      </c>
      <c r="AT62" s="510">
        <f t="shared" si="20"/>
        <v>0</v>
      </c>
      <c r="AU62" s="510">
        <f t="shared" si="20"/>
        <v>0</v>
      </c>
      <c r="AV62" s="510">
        <f t="shared" si="20"/>
        <v>0</v>
      </c>
      <c r="AW62" s="510">
        <f t="shared" si="20"/>
        <v>0</v>
      </c>
      <c r="AX62" s="510">
        <f t="shared" si="20"/>
        <v>0</v>
      </c>
      <c r="AY62" s="510">
        <f t="shared" si="20"/>
        <v>0</v>
      </c>
      <c r="AZ62" s="510">
        <f t="shared" si="20"/>
        <v>0</v>
      </c>
      <c r="BA62" s="510">
        <f t="shared" si="20"/>
        <v>0</v>
      </c>
      <c r="BB62" s="510">
        <f t="shared" si="20"/>
        <v>0</v>
      </c>
      <c r="BC62" s="510">
        <f t="shared" si="20"/>
        <v>0</v>
      </c>
      <c r="BD62" s="510">
        <f t="shared" si="20"/>
        <v>0</v>
      </c>
      <c r="BE62" s="510">
        <f t="shared" si="20"/>
        <v>0</v>
      </c>
      <c r="BF62" s="510">
        <f t="shared" si="20"/>
        <v>0</v>
      </c>
      <c r="BG62" s="510">
        <f t="shared" si="20"/>
        <v>0</v>
      </c>
      <c r="BH62" s="510">
        <f t="shared" si="20"/>
        <v>0</v>
      </c>
      <c r="BI62" s="510">
        <f t="shared" si="20"/>
        <v>0</v>
      </c>
      <c r="BJ62" s="510">
        <f t="shared" si="20"/>
        <v>0</v>
      </c>
      <c r="BK62" s="511">
        <f t="shared" si="20"/>
        <v>0</v>
      </c>
      <c r="BL62" s="510">
        <f t="shared" si="20"/>
        <v>0</v>
      </c>
      <c r="BM62" s="510">
        <f t="shared" si="20"/>
        <v>0</v>
      </c>
      <c r="BN62" s="510">
        <f t="shared" si="20"/>
        <v>0</v>
      </c>
      <c r="BO62" s="510">
        <f t="shared" ref="BO62:CT62" si="21">SUM(BO52:BO61)</f>
        <v>0</v>
      </c>
      <c r="BP62" s="510">
        <f t="shared" si="21"/>
        <v>0</v>
      </c>
      <c r="BQ62" s="510">
        <f t="shared" si="21"/>
        <v>0</v>
      </c>
      <c r="BR62" s="510">
        <f t="shared" si="21"/>
        <v>0</v>
      </c>
      <c r="BS62" s="510">
        <f t="shared" si="21"/>
        <v>0</v>
      </c>
      <c r="BT62" s="510">
        <f t="shared" si="21"/>
        <v>0</v>
      </c>
      <c r="BU62" s="510">
        <f t="shared" si="21"/>
        <v>0</v>
      </c>
      <c r="BV62" s="510">
        <f t="shared" si="21"/>
        <v>0</v>
      </c>
      <c r="BW62" s="510">
        <f t="shared" si="21"/>
        <v>0</v>
      </c>
      <c r="BX62" s="510">
        <f t="shared" si="21"/>
        <v>0</v>
      </c>
      <c r="BY62" s="510">
        <f t="shared" si="21"/>
        <v>0</v>
      </c>
      <c r="BZ62" s="510">
        <f t="shared" si="21"/>
        <v>0</v>
      </c>
      <c r="CA62" s="511">
        <f t="shared" si="21"/>
        <v>0</v>
      </c>
      <c r="CB62" s="510">
        <f t="shared" si="21"/>
        <v>0</v>
      </c>
      <c r="CC62" s="510">
        <f t="shared" si="21"/>
        <v>0</v>
      </c>
      <c r="CD62" s="510">
        <f t="shared" si="21"/>
        <v>0</v>
      </c>
      <c r="CE62" s="510">
        <f t="shared" si="21"/>
        <v>0</v>
      </c>
      <c r="CF62" s="510">
        <f t="shared" si="21"/>
        <v>0</v>
      </c>
      <c r="CG62" s="510">
        <f t="shared" si="21"/>
        <v>0</v>
      </c>
      <c r="CH62" s="510">
        <f t="shared" si="21"/>
        <v>0</v>
      </c>
      <c r="CI62" s="510">
        <f t="shared" si="21"/>
        <v>0</v>
      </c>
      <c r="CJ62" s="510">
        <f t="shared" si="21"/>
        <v>0</v>
      </c>
      <c r="CK62" s="510">
        <f t="shared" si="21"/>
        <v>0</v>
      </c>
      <c r="CL62" s="510">
        <f t="shared" si="21"/>
        <v>0</v>
      </c>
      <c r="CM62" s="510">
        <f t="shared" si="21"/>
        <v>0</v>
      </c>
      <c r="CN62" s="510">
        <f t="shared" si="21"/>
        <v>0</v>
      </c>
      <c r="CO62" s="510">
        <f t="shared" si="21"/>
        <v>0</v>
      </c>
      <c r="CP62" s="510">
        <f t="shared" si="21"/>
        <v>0</v>
      </c>
      <c r="CQ62" s="510">
        <f t="shared" si="21"/>
        <v>0</v>
      </c>
      <c r="CR62" s="510">
        <f t="shared" si="21"/>
        <v>0</v>
      </c>
      <c r="CS62" s="510">
        <f t="shared" si="21"/>
        <v>0</v>
      </c>
      <c r="CT62" s="510">
        <f t="shared" si="21"/>
        <v>0</v>
      </c>
      <c r="CU62" s="510">
        <f t="shared" ref="CU62:CY62" si="22">SUM(CU52:CU61)</f>
        <v>0</v>
      </c>
      <c r="CV62" s="510">
        <f t="shared" si="22"/>
        <v>0</v>
      </c>
      <c r="CW62" s="510">
        <f t="shared" si="22"/>
        <v>0</v>
      </c>
      <c r="CX62" s="510">
        <f t="shared" si="22"/>
        <v>0</v>
      </c>
      <c r="CY62" s="512">
        <f t="shared" si="22"/>
        <v>0</v>
      </c>
    </row>
    <row r="63" spans="1:103" s="15" customFormat="1" ht="15" customHeight="1" thickTop="1" thickBot="1" x14ac:dyDescent="0.4">
      <c r="A63" s="900" t="s">
        <v>5</v>
      </c>
      <c r="B63" s="529"/>
      <c r="C63" s="530">
        <f t="shared" ref="C63:AH63" si="23">SUM(C51,C62)</f>
        <v>0</v>
      </c>
      <c r="D63" s="531">
        <f>SUM(D51,D62)</f>
        <v>0</v>
      </c>
      <c r="E63" s="531">
        <f t="shared" si="23"/>
        <v>0</v>
      </c>
      <c r="F63" s="531">
        <f t="shared" si="23"/>
        <v>0</v>
      </c>
      <c r="G63" s="531">
        <f t="shared" si="23"/>
        <v>0</v>
      </c>
      <c r="H63" s="531">
        <f t="shared" si="23"/>
        <v>0</v>
      </c>
      <c r="I63" s="531">
        <f t="shared" si="23"/>
        <v>0</v>
      </c>
      <c r="J63" s="531">
        <f t="shared" si="23"/>
        <v>0</v>
      </c>
      <c r="K63" s="531">
        <f t="shared" si="23"/>
        <v>0</v>
      </c>
      <c r="L63" s="531">
        <f t="shared" si="23"/>
        <v>0</v>
      </c>
      <c r="M63" s="531">
        <f t="shared" si="23"/>
        <v>0</v>
      </c>
      <c r="N63" s="531">
        <f t="shared" si="23"/>
        <v>0</v>
      </c>
      <c r="O63" s="531">
        <f t="shared" si="23"/>
        <v>0</v>
      </c>
      <c r="P63" s="531">
        <f t="shared" si="23"/>
        <v>0</v>
      </c>
      <c r="Q63" s="531">
        <f t="shared" si="23"/>
        <v>0</v>
      </c>
      <c r="R63" s="531">
        <f t="shared" si="23"/>
        <v>0</v>
      </c>
      <c r="S63" s="531">
        <f t="shared" si="23"/>
        <v>0</v>
      </c>
      <c r="T63" s="531">
        <f t="shared" si="23"/>
        <v>0</v>
      </c>
      <c r="U63" s="531">
        <f t="shared" si="23"/>
        <v>0</v>
      </c>
      <c r="V63" s="531">
        <f t="shared" si="23"/>
        <v>0</v>
      </c>
      <c r="W63" s="531">
        <f t="shared" si="23"/>
        <v>0</v>
      </c>
      <c r="X63" s="531">
        <f t="shared" si="23"/>
        <v>0</v>
      </c>
      <c r="Y63" s="531">
        <f t="shared" si="23"/>
        <v>0</v>
      </c>
      <c r="Z63" s="531">
        <f t="shared" si="23"/>
        <v>0</v>
      </c>
      <c r="AA63" s="531">
        <f t="shared" si="23"/>
        <v>0</v>
      </c>
      <c r="AB63" s="531">
        <f t="shared" si="23"/>
        <v>0</v>
      </c>
      <c r="AC63" s="531">
        <f t="shared" si="23"/>
        <v>0</v>
      </c>
      <c r="AD63" s="531">
        <f t="shared" si="23"/>
        <v>0</v>
      </c>
      <c r="AE63" s="531">
        <f t="shared" si="23"/>
        <v>0</v>
      </c>
      <c r="AF63" s="531">
        <f t="shared" si="23"/>
        <v>0</v>
      </c>
      <c r="AG63" s="531">
        <f t="shared" si="23"/>
        <v>0</v>
      </c>
      <c r="AH63" s="531">
        <f t="shared" si="23"/>
        <v>0</v>
      </c>
      <c r="AI63" s="531">
        <f t="shared" ref="AI63:BN63" si="24">SUM(AI51,AI62)</f>
        <v>0</v>
      </c>
      <c r="AJ63" s="531">
        <f t="shared" si="24"/>
        <v>0</v>
      </c>
      <c r="AK63" s="531">
        <f t="shared" si="24"/>
        <v>0</v>
      </c>
      <c r="AL63" s="531">
        <f t="shared" si="24"/>
        <v>0</v>
      </c>
      <c r="AM63" s="531">
        <f t="shared" si="24"/>
        <v>0</v>
      </c>
      <c r="AN63" s="531">
        <f t="shared" si="24"/>
        <v>0</v>
      </c>
      <c r="AO63" s="532">
        <f t="shared" si="24"/>
        <v>0</v>
      </c>
      <c r="AP63" s="531">
        <f t="shared" si="24"/>
        <v>0</v>
      </c>
      <c r="AQ63" s="531">
        <f t="shared" si="24"/>
        <v>0</v>
      </c>
      <c r="AR63" s="531">
        <f t="shared" si="24"/>
        <v>0</v>
      </c>
      <c r="AS63" s="531">
        <f t="shared" si="24"/>
        <v>0</v>
      </c>
      <c r="AT63" s="531">
        <f t="shared" si="24"/>
        <v>0</v>
      </c>
      <c r="AU63" s="531">
        <f t="shared" si="24"/>
        <v>0</v>
      </c>
      <c r="AV63" s="531">
        <f t="shared" si="24"/>
        <v>0</v>
      </c>
      <c r="AW63" s="531">
        <f t="shared" si="24"/>
        <v>0</v>
      </c>
      <c r="AX63" s="531">
        <f t="shared" si="24"/>
        <v>0</v>
      </c>
      <c r="AY63" s="531">
        <f t="shared" si="24"/>
        <v>0</v>
      </c>
      <c r="AZ63" s="531">
        <f t="shared" si="24"/>
        <v>0</v>
      </c>
      <c r="BA63" s="531">
        <f t="shared" si="24"/>
        <v>0</v>
      </c>
      <c r="BB63" s="531">
        <f t="shared" si="24"/>
        <v>0</v>
      </c>
      <c r="BC63" s="531">
        <f t="shared" si="24"/>
        <v>0</v>
      </c>
      <c r="BD63" s="531">
        <f t="shared" si="24"/>
        <v>0</v>
      </c>
      <c r="BE63" s="531">
        <f t="shared" si="24"/>
        <v>0</v>
      </c>
      <c r="BF63" s="531">
        <f t="shared" si="24"/>
        <v>0</v>
      </c>
      <c r="BG63" s="531">
        <f t="shared" si="24"/>
        <v>0</v>
      </c>
      <c r="BH63" s="531">
        <f t="shared" si="24"/>
        <v>0</v>
      </c>
      <c r="BI63" s="531">
        <f t="shared" si="24"/>
        <v>0</v>
      </c>
      <c r="BJ63" s="531">
        <f t="shared" si="24"/>
        <v>0</v>
      </c>
      <c r="BK63" s="532">
        <f t="shared" si="24"/>
        <v>0</v>
      </c>
      <c r="BL63" s="531">
        <f t="shared" si="24"/>
        <v>0</v>
      </c>
      <c r="BM63" s="531">
        <f t="shared" si="24"/>
        <v>0</v>
      </c>
      <c r="BN63" s="531">
        <f t="shared" si="24"/>
        <v>0</v>
      </c>
      <c r="BO63" s="531">
        <f t="shared" ref="BO63:CT63" si="25">SUM(BO51,BO62)</f>
        <v>0</v>
      </c>
      <c r="BP63" s="531">
        <f t="shared" si="25"/>
        <v>0</v>
      </c>
      <c r="BQ63" s="531">
        <f t="shared" si="25"/>
        <v>0</v>
      </c>
      <c r="BR63" s="531">
        <f t="shared" si="25"/>
        <v>0</v>
      </c>
      <c r="BS63" s="531">
        <f t="shared" si="25"/>
        <v>0</v>
      </c>
      <c r="BT63" s="531">
        <f t="shared" si="25"/>
        <v>0</v>
      </c>
      <c r="BU63" s="531">
        <f t="shared" si="25"/>
        <v>0</v>
      </c>
      <c r="BV63" s="531">
        <f t="shared" si="25"/>
        <v>0</v>
      </c>
      <c r="BW63" s="531">
        <f t="shared" si="25"/>
        <v>0</v>
      </c>
      <c r="BX63" s="531">
        <f t="shared" si="25"/>
        <v>0</v>
      </c>
      <c r="BY63" s="531">
        <f t="shared" si="25"/>
        <v>0</v>
      </c>
      <c r="BZ63" s="531">
        <f t="shared" si="25"/>
        <v>0</v>
      </c>
      <c r="CA63" s="532">
        <f t="shared" si="25"/>
        <v>0</v>
      </c>
      <c r="CB63" s="531">
        <f t="shared" si="25"/>
        <v>0</v>
      </c>
      <c r="CC63" s="531">
        <f t="shared" si="25"/>
        <v>0</v>
      </c>
      <c r="CD63" s="531">
        <f t="shared" si="25"/>
        <v>0</v>
      </c>
      <c r="CE63" s="531">
        <f t="shared" si="25"/>
        <v>0</v>
      </c>
      <c r="CF63" s="531">
        <f t="shared" si="25"/>
        <v>0</v>
      </c>
      <c r="CG63" s="531">
        <f t="shared" si="25"/>
        <v>0</v>
      </c>
      <c r="CH63" s="531">
        <f t="shared" si="25"/>
        <v>0</v>
      </c>
      <c r="CI63" s="531">
        <f t="shared" si="25"/>
        <v>0</v>
      </c>
      <c r="CJ63" s="531">
        <f t="shared" si="25"/>
        <v>0</v>
      </c>
      <c r="CK63" s="531">
        <f t="shared" si="25"/>
        <v>0</v>
      </c>
      <c r="CL63" s="531">
        <f t="shared" si="25"/>
        <v>0</v>
      </c>
      <c r="CM63" s="531">
        <f t="shared" si="25"/>
        <v>0</v>
      </c>
      <c r="CN63" s="531">
        <f t="shared" si="25"/>
        <v>0</v>
      </c>
      <c r="CO63" s="531">
        <f t="shared" si="25"/>
        <v>0</v>
      </c>
      <c r="CP63" s="531">
        <f t="shared" si="25"/>
        <v>0</v>
      </c>
      <c r="CQ63" s="531">
        <f t="shared" si="25"/>
        <v>0</v>
      </c>
      <c r="CR63" s="531">
        <f t="shared" si="25"/>
        <v>0</v>
      </c>
      <c r="CS63" s="531">
        <f t="shared" si="25"/>
        <v>0</v>
      </c>
      <c r="CT63" s="531">
        <f t="shared" si="25"/>
        <v>0</v>
      </c>
      <c r="CU63" s="531">
        <f t="shared" ref="CU63:CY63" si="26">SUM(CU51,CU62)</f>
        <v>0</v>
      </c>
      <c r="CV63" s="531">
        <f t="shared" si="26"/>
        <v>0</v>
      </c>
      <c r="CW63" s="531">
        <f t="shared" si="26"/>
        <v>0</v>
      </c>
      <c r="CX63" s="531">
        <f t="shared" si="26"/>
        <v>0</v>
      </c>
      <c r="CY63" s="533">
        <f t="shared" si="26"/>
        <v>0</v>
      </c>
    </row>
    <row r="64" spans="1:103" ht="15" customHeight="1" x14ac:dyDescent="0.35">
      <c r="A64" s="534"/>
      <c r="B64" s="535"/>
      <c r="C64" s="536"/>
      <c r="D64" s="491"/>
      <c r="E64" s="491"/>
      <c r="F64" s="491"/>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c r="AI64" s="491"/>
      <c r="AJ64" s="491"/>
      <c r="AK64" s="491"/>
      <c r="AL64" s="491"/>
      <c r="AM64" s="491"/>
      <c r="AN64" s="491"/>
      <c r="AO64" s="492"/>
      <c r="AP64" s="491"/>
      <c r="AQ64" s="491"/>
      <c r="AR64" s="491"/>
      <c r="AS64" s="491"/>
      <c r="AT64" s="491"/>
      <c r="AU64" s="491"/>
      <c r="AV64" s="491"/>
      <c r="AW64" s="491"/>
      <c r="AX64" s="491"/>
      <c r="AY64" s="491"/>
      <c r="AZ64" s="491"/>
      <c r="BA64" s="491"/>
      <c r="BB64" s="491"/>
      <c r="BC64" s="491"/>
      <c r="BD64" s="491"/>
      <c r="BE64" s="491"/>
      <c r="BF64" s="491"/>
      <c r="BG64" s="491"/>
      <c r="BH64" s="491"/>
      <c r="BI64" s="491"/>
      <c r="BJ64" s="491"/>
      <c r="BK64" s="492"/>
      <c r="BL64" s="491"/>
      <c r="BM64" s="491"/>
      <c r="BN64" s="491"/>
      <c r="BO64" s="491"/>
      <c r="BP64" s="491"/>
      <c r="BQ64" s="491"/>
      <c r="BR64" s="491"/>
      <c r="BS64" s="491"/>
      <c r="BT64" s="491"/>
      <c r="BU64" s="491"/>
      <c r="BV64" s="491"/>
      <c r="BW64" s="491"/>
      <c r="BX64" s="491"/>
      <c r="BY64" s="491"/>
      <c r="BZ64" s="491"/>
      <c r="CA64" s="492"/>
      <c r="CB64" s="491"/>
      <c r="CC64" s="491"/>
      <c r="CD64" s="491"/>
      <c r="CE64" s="491"/>
      <c r="CF64" s="491"/>
      <c r="CG64" s="491"/>
      <c r="CH64" s="491"/>
      <c r="CI64" s="491"/>
      <c r="CJ64" s="491"/>
      <c r="CK64" s="491"/>
      <c r="CL64" s="491"/>
      <c r="CM64" s="491"/>
      <c r="CN64" s="491"/>
      <c r="CO64" s="491"/>
      <c r="CP64" s="491"/>
      <c r="CQ64" s="491"/>
      <c r="CR64" s="491"/>
      <c r="CS64" s="491"/>
      <c r="CT64" s="491"/>
      <c r="CU64" s="491"/>
      <c r="CV64" s="491"/>
      <c r="CW64" s="491"/>
      <c r="CX64" s="491"/>
      <c r="CY64" s="493"/>
    </row>
    <row r="65" spans="1:103" ht="15" customHeight="1" x14ac:dyDescent="0.35">
      <c r="A65" s="537" t="s">
        <v>557</v>
      </c>
      <c r="B65" s="535"/>
      <c r="C65" s="536"/>
      <c r="D65" s="491"/>
      <c r="E65" s="491"/>
      <c r="F65" s="491"/>
      <c r="G65" s="491"/>
      <c r="H65" s="491"/>
      <c r="I65" s="491"/>
      <c r="J65" s="491"/>
      <c r="K65" s="491"/>
      <c r="L65" s="491"/>
      <c r="M65" s="491"/>
      <c r="N65" s="491"/>
      <c r="O65" s="491"/>
      <c r="P65" s="491"/>
      <c r="Q65" s="491"/>
      <c r="R65" s="491"/>
      <c r="S65" s="491"/>
      <c r="T65" s="491"/>
      <c r="U65" s="491"/>
      <c r="V65" s="491"/>
      <c r="W65" s="491"/>
      <c r="X65" s="491"/>
      <c r="Y65" s="491"/>
      <c r="Z65" s="491"/>
      <c r="AA65" s="491"/>
      <c r="AB65" s="491"/>
      <c r="AC65" s="491"/>
      <c r="AD65" s="491"/>
      <c r="AE65" s="491"/>
      <c r="AF65" s="491"/>
      <c r="AG65" s="491"/>
      <c r="AH65" s="491"/>
      <c r="AI65" s="491"/>
      <c r="AJ65" s="491"/>
      <c r="AK65" s="491"/>
      <c r="AL65" s="491"/>
      <c r="AM65" s="491"/>
      <c r="AN65" s="491"/>
      <c r="AO65" s="492"/>
      <c r="AP65" s="491"/>
      <c r="AQ65" s="491"/>
      <c r="AR65" s="491"/>
      <c r="AS65" s="491"/>
      <c r="AT65" s="491"/>
      <c r="AU65" s="491"/>
      <c r="AV65" s="491"/>
      <c r="AW65" s="491"/>
      <c r="AX65" s="491"/>
      <c r="AY65" s="491"/>
      <c r="AZ65" s="491"/>
      <c r="BA65" s="491"/>
      <c r="BB65" s="491"/>
      <c r="BC65" s="491"/>
      <c r="BD65" s="491"/>
      <c r="BE65" s="491"/>
      <c r="BF65" s="491"/>
      <c r="BG65" s="491"/>
      <c r="BH65" s="491"/>
      <c r="BI65" s="491"/>
      <c r="BJ65" s="491"/>
      <c r="BK65" s="492"/>
      <c r="BL65" s="491"/>
      <c r="BM65" s="491"/>
      <c r="BN65" s="491"/>
      <c r="BO65" s="491"/>
      <c r="BP65" s="491"/>
      <c r="BQ65" s="491"/>
      <c r="BR65" s="491"/>
      <c r="BS65" s="491"/>
      <c r="BT65" s="491"/>
      <c r="BU65" s="491"/>
      <c r="BV65" s="491"/>
      <c r="BW65" s="491"/>
      <c r="BX65" s="491"/>
      <c r="BY65" s="491"/>
      <c r="BZ65" s="491"/>
      <c r="CA65" s="492"/>
      <c r="CB65" s="491"/>
      <c r="CC65" s="491"/>
      <c r="CD65" s="491"/>
      <c r="CE65" s="491"/>
      <c r="CF65" s="491"/>
      <c r="CG65" s="491"/>
      <c r="CH65" s="491"/>
      <c r="CI65" s="491"/>
      <c r="CJ65" s="491"/>
      <c r="CK65" s="491"/>
      <c r="CL65" s="491"/>
      <c r="CM65" s="491"/>
      <c r="CN65" s="491"/>
      <c r="CO65" s="491"/>
      <c r="CP65" s="491"/>
      <c r="CQ65" s="491"/>
      <c r="CR65" s="491"/>
      <c r="CS65" s="491"/>
      <c r="CT65" s="491"/>
      <c r="CU65" s="491"/>
      <c r="CV65" s="491"/>
      <c r="CW65" s="491"/>
      <c r="CX65" s="491"/>
      <c r="CY65" s="493"/>
    </row>
    <row r="66" spans="1:103" ht="15" customHeight="1" thickBot="1" x14ac:dyDescent="0.4">
      <c r="A66" s="534"/>
      <c r="B66" s="535"/>
      <c r="C66" s="536"/>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1"/>
      <c r="AD66" s="491"/>
      <c r="AE66" s="491"/>
      <c r="AF66" s="491"/>
      <c r="AG66" s="491"/>
      <c r="AH66" s="491"/>
      <c r="AI66" s="491"/>
      <c r="AJ66" s="491"/>
      <c r="AK66" s="491"/>
      <c r="AL66" s="491"/>
      <c r="AM66" s="491"/>
      <c r="AN66" s="491"/>
      <c r="AO66" s="492"/>
      <c r="AP66" s="491"/>
      <c r="AQ66" s="491"/>
      <c r="AR66" s="491"/>
      <c r="AS66" s="491"/>
      <c r="AT66" s="491"/>
      <c r="AU66" s="491"/>
      <c r="AV66" s="491"/>
      <c r="AW66" s="491"/>
      <c r="AX66" s="491"/>
      <c r="AY66" s="491"/>
      <c r="AZ66" s="491"/>
      <c r="BA66" s="491"/>
      <c r="BB66" s="491"/>
      <c r="BC66" s="491"/>
      <c r="BD66" s="491"/>
      <c r="BE66" s="491"/>
      <c r="BF66" s="491"/>
      <c r="BG66" s="491"/>
      <c r="BH66" s="491"/>
      <c r="BI66" s="491"/>
      <c r="BJ66" s="491"/>
      <c r="BK66" s="492"/>
      <c r="BL66" s="491"/>
      <c r="BM66" s="491"/>
      <c r="BN66" s="491"/>
      <c r="BO66" s="491"/>
      <c r="BP66" s="491"/>
      <c r="BQ66" s="491"/>
      <c r="BR66" s="491"/>
      <c r="BS66" s="491"/>
      <c r="BT66" s="491"/>
      <c r="BU66" s="491"/>
      <c r="BV66" s="491"/>
      <c r="BW66" s="491"/>
      <c r="BX66" s="491"/>
      <c r="BY66" s="491"/>
      <c r="BZ66" s="491"/>
      <c r="CA66" s="492"/>
      <c r="CB66" s="491"/>
      <c r="CC66" s="491"/>
      <c r="CD66" s="491"/>
      <c r="CE66" s="491"/>
      <c r="CF66" s="491"/>
      <c r="CG66" s="491"/>
      <c r="CH66" s="491"/>
      <c r="CI66" s="491"/>
      <c r="CJ66" s="491"/>
      <c r="CK66" s="491"/>
      <c r="CL66" s="491"/>
      <c r="CM66" s="491"/>
      <c r="CN66" s="491"/>
      <c r="CO66" s="491"/>
      <c r="CP66" s="491"/>
      <c r="CQ66" s="491"/>
      <c r="CR66" s="491"/>
      <c r="CS66" s="491"/>
      <c r="CT66" s="491"/>
      <c r="CU66" s="491"/>
      <c r="CV66" s="491"/>
      <c r="CW66" s="491"/>
      <c r="CX66" s="491"/>
      <c r="CY66" s="493"/>
    </row>
    <row r="67" spans="1:103" ht="15" customHeight="1" x14ac:dyDescent="0.35">
      <c r="A67" s="538" t="s">
        <v>558</v>
      </c>
      <c r="B67" s="539"/>
      <c r="C67" s="540" t="e">
        <f ca="1">SUM(D67:CY67)</f>
        <v>#REF!</v>
      </c>
      <c r="D67" s="541" t="e">
        <f t="shared" ref="D67:AI67" ca="1" si="27">D43</f>
        <v>#REF!</v>
      </c>
      <c r="E67" s="541">
        <f t="shared" ca="1" si="27"/>
        <v>0</v>
      </c>
      <c r="F67" s="541">
        <f t="shared" ca="1" si="27"/>
        <v>0</v>
      </c>
      <c r="G67" s="541">
        <f t="shared" ca="1" si="27"/>
        <v>0</v>
      </c>
      <c r="H67" s="541">
        <f t="shared" ca="1" si="27"/>
        <v>0</v>
      </c>
      <c r="I67" s="541">
        <f t="shared" ca="1" si="27"/>
        <v>0</v>
      </c>
      <c r="J67" s="541">
        <f t="shared" ca="1" si="27"/>
        <v>0</v>
      </c>
      <c r="K67" s="541">
        <f t="shared" ca="1" si="27"/>
        <v>0</v>
      </c>
      <c r="L67" s="541">
        <f t="shared" ca="1" si="27"/>
        <v>0</v>
      </c>
      <c r="M67" s="541">
        <f t="shared" ca="1" si="27"/>
        <v>0</v>
      </c>
      <c r="N67" s="541">
        <f t="shared" ca="1" si="27"/>
        <v>0</v>
      </c>
      <c r="O67" s="541">
        <f t="shared" ca="1" si="27"/>
        <v>0</v>
      </c>
      <c r="P67" s="541">
        <f t="shared" ca="1" si="27"/>
        <v>0</v>
      </c>
      <c r="Q67" s="541">
        <f t="shared" ca="1" si="27"/>
        <v>0</v>
      </c>
      <c r="R67" s="541">
        <f t="shared" ca="1" si="27"/>
        <v>0</v>
      </c>
      <c r="S67" s="541">
        <f t="shared" ca="1" si="27"/>
        <v>0</v>
      </c>
      <c r="T67" s="541">
        <f t="shared" ca="1" si="27"/>
        <v>0</v>
      </c>
      <c r="U67" s="541">
        <f t="shared" ca="1" si="27"/>
        <v>0</v>
      </c>
      <c r="V67" s="541">
        <f t="shared" ca="1" si="27"/>
        <v>0</v>
      </c>
      <c r="W67" s="541">
        <f t="shared" ca="1" si="27"/>
        <v>0</v>
      </c>
      <c r="X67" s="541">
        <f t="shared" ca="1" si="27"/>
        <v>0</v>
      </c>
      <c r="Y67" s="541">
        <f t="shared" ca="1" si="27"/>
        <v>0</v>
      </c>
      <c r="Z67" s="541">
        <f t="shared" ca="1" si="27"/>
        <v>0</v>
      </c>
      <c r="AA67" s="541">
        <f t="shared" ca="1" si="27"/>
        <v>0</v>
      </c>
      <c r="AB67" s="541">
        <f t="shared" ca="1" si="27"/>
        <v>0</v>
      </c>
      <c r="AC67" s="541">
        <f t="shared" ca="1" si="27"/>
        <v>0</v>
      </c>
      <c r="AD67" s="541">
        <f t="shared" ca="1" si="27"/>
        <v>0</v>
      </c>
      <c r="AE67" s="541">
        <f t="shared" ca="1" si="27"/>
        <v>0</v>
      </c>
      <c r="AF67" s="541">
        <f t="shared" ca="1" si="27"/>
        <v>0</v>
      </c>
      <c r="AG67" s="541">
        <f t="shared" ca="1" si="27"/>
        <v>0</v>
      </c>
      <c r="AH67" s="541">
        <f t="shared" ca="1" si="27"/>
        <v>0</v>
      </c>
      <c r="AI67" s="541">
        <f t="shared" ca="1" si="27"/>
        <v>0</v>
      </c>
      <c r="AJ67" s="541">
        <f t="shared" ref="AJ67:BO67" ca="1" si="28">AJ43</f>
        <v>0</v>
      </c>
      <c r="AK67" s="541">
        <f t="shared" ca="1" si="28"/>
        <v>0</v>
      </c>
      <c r="AL67" s="541">
        <f t="shared" ca="1" si="28"/>
        <v>0</v>
      </c>
      <c r="AM67" s="541">
        <f t="shared" ca="1" si="28"/>
        <v>0</v>
      </c>
      <c r="AN67" s="541">
        <f t="shared" ca="1" si="28"/>
        <v>0</v>
      </c>
      <c r="AO67" s="542">
        <f t="shared" ca="1" si="28"/>
        <v>0</v>
      </c>
      <c r="AP67" s="541">
        <f t="shared" ca="1" si="28"/>
        <v>0</v>
      </c>
      <c r="AQ67" s="541">
        <f t="shared" ca="1" si="28"/>
        <v>0</v>
      </c>
      <c r="AR67" s="541">
        <f t="shared" ca="1" si="28"/>
        <v>0</v>
      </c>
      <c r="AS67" s="541">
        <f t="shared" ca="1" si="28"/>
        <v>0</v>
      </c>
      <c r="AT67" s="541">
        <f t="shared" ca="1" si="28"/>
        <v>0</v>
      </c>
      <c r="AU67" s="541">
        <f t="shared" ca="1" si="28"/>
        <v>0</v>
      </c>
      <c r="AV67" s="541">
        <f t="shared" ca="1" si="28"/>
        <v>0</v>
      </c>
      <c r="AW67" s="541">
        <f t="shared" ca="1" si="28"/>
        <v>0</v>
      </c>
      <c r="AX67" s="541">
        <f t="shared" ca="1" si="28"/>
        <v>0</v>
      </c>
      <c r="AY67" s="541">
        <f t="shared" ca="1" si="28"/>
        <v>0</v>
      </c>
      <c r="AZ67" s="541">
        <f t="shared" ca="1" si="28"/>
        <v>0</v>
      </c>
      <c r="BA67" s="541">
        <f t="shared" ca="1" si="28"/>
        <v>0</v>
      </c>
      <c r="BB67" s="541">
        <f t="shared" ca="1" si="28"/>
        <v>0</v>
      </c>
      <c r="BC67" s="541">
        <f t="shared" ca="1" si="28"/>
        <v>0</v>
      </c>
      <c r="BD67" s="541">
        <f t="shared" ca="1" si="28"/>
        <v>0</v>
      </c>
      <c r="BE67" s="541">
        <f t="shared" ca="1" si="28"/>
        <v>0</v>
      </c>
      <c r="BF67" s="541">
        <f t="shared" ca="1" si="28"/>
        <v>0</v>
      </c>
      <c r="BG67" s="541">
        <f t="shared" ca="1" si="28"/>
        <v>0</v>
      </c>
      <c r="BH67" s="541">
        <f t="shared" ca="1" si="28"/>
        <v>0</v>
      </c>
      <c r="BI67" s="541">
        <f t="shared" ca="1" si="28"/>
        <v>0</v>
      </c>
      <c r="BJ67" s="541">
        <f t="shared" ca="1" si="28"/>
        <v>0</v>
      </c>
      <c r="BK67" s="542">
        <f t="shared" ca="1" si="28"/>
        <v>0</v>
      </c>
      <c r="BL67" s="541">
        <f t="shared" ca="1" si="28"/>
        <v>0</v>
      </c>
      <c r="BM67" s="541">
        <f t="shared" ca="1" si="28"/>
        <v>0</v>
      </c>
      <c r="BN67" s="541">
        <f t="shared" ca="1" si="28"/>
        <v>0</v>
      </c>
      <c r="BO67" s="541">
        <f t="shared" ca="1" si="28"/>
        <v>0</v>
      </c>
      <c r="BP67" s="541">
        <f t="shared" ref="BP67:CY67" ca="1" si="29">BP43</f>
        <v>0</v>
      </c>
      <c r="BQ67" s="541">
        <f t="shared" ca="1" si="29"/>
        <v>0</v>
      </c>
      <c r="BR67" s="541">
        <f t="shared" ca="1" si="29"/>
        <v>0</v>
      </c>
      <c r="BS67" s="541">
        <f t="shared" ca="1" si="29"/>
        <v>0</v>
      </c>
      <c r="BT67" s="541">
        <f t="shared" ca="1" si="29"/>
        <v>0</v>
      </c>
      <c r="BU67" s="541">
        <f t="shared" ca="1" si="29"/>
        <v>0</v>
      </c>
      <c r="BV67" s="541">
        <f t="shared" ca="1" si="29"/>
        <v>0</v>
      </c>
      <c r="BW67" s="541">
        <f t="shared" ca="1" si="29"/>
        <v>0</v>
      </c>
      <c r="BX67" s="541">
        <f t="shared" ca="1" si="29"/>
        <v>0</v>
      </c>
      <c r="BY67" s="541">
        <f t="shared" ca="1" si="29"/>
        <v>0</v>
      </c>
      <c r="BZ67" s="541">
        <f t="shared" ca="1" si="29"/>
        <v>0</v>
      </c>
      <c r="CA67" s="542">
        <f t="shared" ca="1" si="29"/>
        <v>0</v>
      </c>
      <c r="CB67" s="541">
        <f t="shared" ca="1" si="29"/>
        <v>0</v>
      </c>
      <c r="CC67" s="541">
        <f t="shared" ca="1" si="29"/>
        <v>0</v>
      </c>
      <c r="CD67" s="541">
        <f t="shared" ca="1" si="29"/>
        <v>0</v>
      </c>
      <c r="CE67" s="541">
        <f t="shared" ca="1" si="29"/>
        <v>0</v>
      </c>
      <c r="CF67" s="541">
        <f t="shared" ca="1" si="29"/>
        <v>0</v>
      </c>
      <c r="CG67" s="541">
        <f t="shared" ca="1" si="29"/>
        <v>0</v>
      </c>
      <c r="CH67" s="541">
        <f t="shared" ca="1" si="29"/>
        <v>0</v>
      </c>
      <c r="CI67" s="541">
        <f t="shared" ca="1" si="29"/>
        <v>0</v>
      </c>
      <c r="CJ67" s="541">
        <f t="shared" ca="1" si="29"/>
        <v>0</v>
      </c>
      <c r="CK67" s="541">
        <f t="shared" ca="1" si="29"/>
        <v>0</v>
      </c>
      <c r="CL67" s="541">
        <f t="shared" ca="1" si="29"/>
        <v>0</v>
      </c>
      <c r="CM67" s="541">
        <f t="shared" ca="1" si="29"/>
        <v>0</v>
      </c>
      <c r="CN67" s="541">
        <f t="shared" ca="1" si="29"/>
        <v>0</v>
      </c>
      <c r="CO67" s="541">
        <f t="shared" ca="1" si="29"/>
        <v>0</v>
      </c>
      <c r="CP67" s="541">
        <f t="shared" ca="1" si="29"/>
        <v>0</v>
      </c>
      <c r="CQ67" s="541">
        <f t="shared" ca="1" si="29"/>
        <v>0</v>
      </c>
      <c r="CR67" s="541">
        <f t="shared" ca="1" si="29"/>
        <v>0</v>
      </c>
      <c r="CS67" s="541">
        <f t="shared" ca="1" si="29"/>
        <v>0</v>
      </c>
      <c r="CT67" s="541">
        <f t="shared" ca="1" si="29"/>
        <v>0</v>
      </c>
      <c r="CU67" s="541">
        <f t="shared" ca="1" si="29"/>
        <v>0</v>
      </c>
      <c r="CV67" s="541">
        <f t="shared" ca="1" si="29"/>
        <v>0</v>
      </c>
      <c r="CW67" s="541">
        <f t="shared" ca="1" si="29"/>
        <v>0</v>
      </c>
      <c r="CX67" s="541">
        <f t="shared" ca="1" si="29"/>
        <v>0</v>
      </c>
      <c r="CY67" s="543">
        <f t="shared" ca="1" si="29"/>
        <v>0</v>
      </c>
    </row>
    <row r="68" spans="1:103" ht="15" customHeight="1" thickBot="1" x14ac:dyDescent="0.4">
      <c r="A68" s="544" t="s">
        <v>559</v>
      </c>
      <c r="B68" s="545"/>
      <c r="C68" s="546" t="e">
        <f ca="1">SUM(D68:CY68)</f>
        <v>#REF!</v>
      </c>
      <c r="D68" s="547" t="e">
        <f t="shared" ref="D68:AI68" ca="1" si="30">D43-D42</f>
        <v>#REF!</v>
      </c>
      <c r="E68" s="547">
        <f t="shared" ca="1" si="30"/>
        <v>0</v>
      </c>
      <c r="F68" s="547">
        <f t="shared" ca="1" si="30"/>
        <v>0</v>
      </c>
      <c r="G68" s="547">
        <f t="shared" ca="1" si="30"/>
        <v>0</v>
      </c>
      <c r="H68" s="547">
        <f t="shared" ca="1" si="30"/>
        <v>0</v>
      </c>
      <c r="I68" s="547">
        <f t="shared" ca="1" si="30"/>
        <v>0</v>
      </c>
      <c r="J68" s="547">
        <f t="shared" ca="1" si="30"/>
        <v>0</v>
      </c>
      <c r="K68" s="547">
        <f t="shared" ca="1" si="30"/>
        <v>0</v>
      </c>
      <c r="L68" s="547">
        <f t="shared" ca="1" si="30"/>
        <v>0</v>
      </c>
      <c r="M68" s="547">
        <f t="shared" ca="1" si="30"/>
        <v>0</v>
      </c>
      <c r="N68" s="547">
        <f t="shared" ca="1" si="30"/>
        <v>0</v>
      </c>
      <c r="O68" s="547">
        <f t="shared" ca="1" si="30"/>
        <v>0</v>
      </c>
      <c r="P68" s="547">
        <f t="shared" ca="1" si="30"/>
        <v>0</v>
      </c>
      <c r="Q68" s="547">
        <f t="shared" ca="1" si="30"/>
        <v>0</v>
      </c>
      <c r="R68" s="547">
        <f t="shared" ca="1" si="30"/>
        <v>0</v>
      </c>
      <c r="S68" s="547">
        <f t="shared" ca="1" si="30"/>
        <v>0</v>
      </c>
      <c r="T68" s="547">
        <f t="shared" ca="1" si="30"/>
        <v>0</v>
      </c>
      <c r="U68" s="547">
        <f t="shared" ca="1" si="30"/>
        <v>0</v>
      </c>
      <c r="V68" s="547">
        <f t="shared" ca="1" si="30"/>
        <v>0</v>
      </c>
      <c r="W68" s="547">
        <f t="shared" ca="1" si="30"/>
        <v>0</v>
      </c>
      <c r="X68" s="547">
        <f t="shared" ca="1" si="30"/>
        <v>0</v>
      </c>
      <c r="Y68" s="547">
        <f t="shared" ca="1" si="30"/>
        <v>0</v>
      </c>
      <c r="Z68" s="547">
        <f t="shared" ca="1" si="30"/>
        <v>0</v>
      </c>
      <c r="AA68" s="547">
        <f t="shared" ca="1" si="30"/>
        <v>0</v>
      </c>
      <c r="AB68" s="547">
        <f t="shared" ca="1" si="30"/>
        <v>0</v>
      </c>
      <c r="AC68" s="547">
        <f t="shared" ca="1" si="30"/>
        <v>0</v>
      </c>
      <c r="AD68" s="547">
        <f t="shared" ca="1" si="30"/>
        <v>0</v>
      </c>
      <c r="AE68" s="547">
        <f t="shared" ca="1" si="30"/>
        <v>0</v>
      </c>
      <c r="AF68" s="547">
        <f t="shared" ca="1" si="30"/>
        <v>0</v>
      </c>
      <c r="AG68" s="547">
        <f t="shared" ca="1" si="30"/>
        <v>0</v>
      </c>
      <c r="AH68" s="547">
        <f t="shared" ca="1" si="30"/>
        <v>0</v>
      </c>
      <c r="AI68" s="547">
        <f t="shared" ca="1" si="30"/>
        <v>0</v>
      </c>
      <c r="AJ68" s="547">
        <f t="shared" ref="AJ68:BO68" ca="1" si="31">AJ43-AJ42</f>
        <v>0</v>
      </c>
      <c r="AK68" s="547">
        <f t="shared" ca="1" si="31"/>
        <v>0</v>
      </c>
      <c r="AL68" s="547">
        <f t="shared" ca="1" si="31"/>
        <v>0</v>
      </c>
      <c r="AM68" s="547">
        <f t="shared" ca="1" si="31"/>
        <v>0</v>
      </c>
      <c r="AN68" s="547">
        <f t="shared" ca="1" si="31"/>
        <v>0</v>
      </c>
      <c r="AO68" s="548">
        <f t="shared" ca="1" si="31"/>
        <v>0</v>
      </c>
      <c r="AP68" s="547">
        <f t="shared" ca="1" si="31"/>
        <v>0</v>
      </c>
      <c r="AQ68" s="547">
        <f t="shared" ca="1" si="31"/>
        <v>0</v>
      </c>
      <c r="AR68" s="547">
        <f t="shared" ca="1" si="31"/>
        <v>0</v>
      </c>
      <c r="AS68" s="547">
        <f t="shared" ca="1" si="31"/>
        <v>0</v>
      </c>
      <c r="AT68" s="547">
        <f t="shared" ca="1" si="31"/>
        <v>0</v>
      </c>
      <c r="AU68" s="547">
        <f t="shared" ca="1" si="31"/>
        <v>0</v>
      </c>
      <c r="AV68" s="547">
        <f t="shared" ca="1" si="31"/>
        <v>0</v>
      </c>
      <c r="AW68" s="547">
        <f t="shared" ca="1" si="31"/>
        <v>0</v>
      </c>
      <c r="AX68" s="547">
        <f t="shared" ca="1" si="31"/>
        <v>0</v>
      </c>
      <c r="AY68" s="547">
        <f t="shared" ca="1" si="31"/>
        <v>0</v>
      </c>
      <c r="AZ68" s="547">
        <f t="shared" ca="1" si="31"/>
        <v>0</v>
      </c>
      <c r="BA68" s="547">
        <f t="shared" ca="1" si="31"/>
        <v>0</v>
      </c>
      <c r="BB68" s="547">
        <f t="shared" ca="1" si="31"/>
        <v>0</v>
      </c>
      <c r="BC68" s="547">
        <f t="shared" ca="1" si="31"/>
        <v>0</v>
      </c>
      <c r="BD68" s="547">
        <f t="shared" ca="1" si="31"/>
        <v>0</v>
      </c>
      <c r="BE68" s="547">
        <f t="shared" ca="1" si="31"/>
        <v>0</v>
      </c>
      <c r="BF68" s="547">
        <f t="shared" ca="1" si="31"/>
        <v>0</v>
      </c>
      <c r="BG68" s="547">
        <f t="shared" ca="1" si="31"/>
        <v>0</v>
      </c>
      <c r="BH68" s="547">
        <f t="shared" ca="1" si="31"/>
        <v>0</v>
      </c>
      <c r="BI68" s="547">
        <f t="shared" ca="1" si="31"/>
        <v>0</v>
      </c>
      <c r="BJ68" s="547">
        <f t="shared" ca="1" si="31"/>
        <v>0</v>
      </c>
      <c r="BK68" s="548">
        <f t="shared" ca="1" si="31"/>
        <v>0</v>
      </c>
      <c r="BL68" s="547">
        <f t="shared" ca="1" si="31"/>
        <v>0</v>
      </c>
      <c r="BM68" s="547">
        <f t="shared" ca="1" si="31"/>
        <v>0</v>
      </c>
      <c r="BN68" s="547">
        <f t="shared" ca="1" si="31"/>
        <v>0</v>
      </c>
      <c r="BO68" s="547">
        <f t="shared" ca="1" si="31"/>
        <v>0</v>
      </c>
      <c r="BP68" s="547">
        <f t="shared" ref="BP68:CY68" ca="1" si="32">BP43-BP42</f>
        <v>0</v>
      </c>
      <c r="BQ68" s="547">
        <f t="shared" ca="1" si="32"/>
        <v>0</v>
      </c>
      <c r="BR68" s="547">
        <f t="shared" ca="1" si="32"/>
        <v>0</v>
      </c>
      <c r="BS68" s="547">
        <f t="shared" ca="1" si="32"/>
        <v>0</v>
      </c>
      <c r="BT68" s="547">
        <f t="shared" ca="1" si="32"/>
        <v>0</v>
      </c>
      <c r="BU68" s="547">
        <f t="shared" ca="1" si="32"/>
        <v>0</v>
      </c>
      <c r="BV68" s="547">
        <f t="shared" ca="1" si="32"/>
        <v>0</v>
      </c>
      <c r="BW68" s="547">
        <f t="shared" ca="1" si="32"/>
        <v>0</v>
      </c>
      <c r="BX68" s="547">
        <f t="shared" ca="1" si="32"/>
        <v>0</v>
      </c>
      <c r="BY68" s="547">
        <f t="shared" ca="1" si="32"/>
        <v>0</v>
      </c>
      <c r="BZ68" s="547">
        <f t="shared" ca="1" si="32"/>
        <v>0</v>
      </c>
      <c r="CA68" s="548">
        <f t="shared" ca="1" si="32"/>
        <v>0</v>
      </c>
      <c r="CB68" s="547">
        <f t="shared" ca="1" si="32"/>
        <v>0</v>
      </c>
      <c r="CC68" s="547">
        <f t="shared" ca="1" si="32"/>
        <v>0</v>
      </c>
      <c r="CD68" s="547">
        <f t="shared" ca="1" si="32"/>
        <v>0</v>
      </c>
      <c r="CE68" s="547">
        <f t="shared" ca="1" si="32"/>
        <v>0</v>
      </c>
      <c r="CF68" s="547">
        <f t="shared" ca="1" si="32"/>
        <v>0</v>
      </c>
      <c r="CG68" s="547">
        <f t="shared" ca="1" si="32"/>
        <v>0</v>
      </c>
      <c r="CH68" s="547">
        <f t="shared" ca="1" si="32"/>
        <v>0</v>
      </c>
      <c r="CI68" s="547">
        <f t="shared" ca="1" si="32"/>
        <v>0</v>
      </c>
      <c r="CJ68" s="547">
        <f t="shared" ca="1" si="32"/>
        <v>0</v>
      </c>
      <c r="CK68" s="547">
        <f t="shared" ca="1" si="32"/>
        <v>0</v>
      </c>
      <c r="CL68" s="547">
        <f t="shared" ca="1" si="32"/>
        <v>0</v>
      </c>
      <c r="CM68" s="547">
        <f t="shared" ca="1" si="32"/>
        <v>0</v>
      </c>
      <c r="CN68" s="547">
        <f t="shared" ca="1" si="32"/>
        <v>0</v>
      </c>
      <c r="CO68" s="547">
        <f t="shared" ca="1" si="32"/>
        <v>0</v>
      </c>
      <c r="CP68" s="547">
        <f t="shared" ca="1" si="32"/>
        <v>0</v>
      </c>
      <c r="CQ68" s="547">
        <f t="shared" ca="1" si="32"/>
        <v>0</v>
      </c>
      <c r="CR68" s="547">
        <f t="shared" ca="1" si="32"/>
        <v>0</v>
      </c>
      <c r="CS68" s="547">
        <f t="shared" ca="1" si="32"/>
        <v>0</v>
      </c>
      <c r="CT68" s="547">
        <f t="shared" ca="1" si="32"/>
        <v>0</v>
      </c>
      <c r="CU68" s="547">
        <f t="shared" ca="1" si="32"/>
        <v>0</v>
      </c>
      <c r="CV68" s="547">
        <f t="shared" ca="1" si="32"/>
        <v>0</v>
      </c>
      <c r="CW68" s="547">
        <f t="shared" ca="1" si="32"/>
        <v>0</v>
      </c>
      <c r="CX68" s="547">
        <f t="shared" ca="1" si="32"/>
        <v>0</v>
      </c>
      <c r="CY68" s="549">
        <f t="shared" ca="1" si="32"/>
        <v>0</v>
      </c>
    </row>
    <row r="69" spans="1:103" ht="15" customHeight="1" thickBot="1" x14ac:dyDescent="0.4">
      <c r="A69" s="550"/>
      <c r="B69" s="535"/>
      <c r="C69" s="536"/>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c r="AK69" s="491"/>
      <c r="AL69" s="491"/>
      <c r="AM69" s="491"/>
      <c r="AN69" s="491"/>
      <c r="AO69" s="492"/>
      <c r="AP69" s="491"/>
      <c r="AQ69" s="491"/>
      <c r="AR69" s="491"/>
      <c r="AS69" s="491"/>
      <c r="AT69" s="491"/>
      <c r="AU69" s="491"/>
      <c r="AV69" s="491"/>
      <c r="AW69" s="491"/>
      <c r="AX69" s="491"/>
      <c r="AY69" s="491"/>
      <c r="AZ69" s="491"/>
      <c r="BA69" s="491"/>
      <c r="BB69" s="491"/>
      <c r="BC69" s="491"/>
      <c r="BD69" s="491"/>
      <c r="BE69" s="491"/>
      <c r="BF69" s="491"/>
      <c r="BG69" s="491"/>
      <c r="BH69" s="491"/>
      <c r="BI69" s="491"/>
      <c r="BJ69" s="491"/>
      <c r="BK69" s="492"/>
      <c r="BL69" s="491"/>
      <c r="BM69" s="491"/>
      <c r="BN69" s="491"/>
      <c r="BO69" s="491"/>
      <c r="BP69" s="491"/>
      <c r="BQ69" s="491"/>
      <c r="BR69" s="491"/>
      <c r="BS69" s="491"/>
      <c r="BT69" s="491"/>
      <c r="BU69" s="491"/>
      <c r="BV69" s="491"/>
      <c r="BW69" s="491"/>
      <c r="BX69" s="491"/>
      <c r="BY69" s="491"/>
      <c r="BZ69" s="491"/>
      <c r="CA69" s="492"/>
      <c r="CB69" s="491"/>
      <c r="CC69" s="491"/>
      <c r="CD69" s="491"/>
      <c r="CE69" s="491"/>
      <c r="CF69" s="491"/>
      <c r="CG69" s="491"/>
      <c r="CH69" s="491"/>
      <c r="CI69" s="491"/>
      <c r="CJ69" s="491"/>
      <c r="CK69" s="491"/>
      <c r="CL69" s="491"/>
      <c r="CM69" s="491"/>
      <c r="CN69" s="491"/>
      <c r="CO69" s="491"/>
      <c r="CP69" s="491"/>
      <c r="CQ69" s="491"/>
      <c r="CR69" s="491"/>
      <c r="CS69" s="491"/>
      <c r="CT69" s="491"/>
      <c r="CU69" s="491"/>
      <c r="CV69" s="491"/>
      <c r="CW69" s="491"/>
      <c r="CX69" s="491"/>
      <c r="CY69" s="493"/>
    </row>
    <row r="70" spans="1:103" ht="15" customHeight="1" x14ac:dyDescent="0.35">
      <c r="A70" s="551" t="s">
        <v>560</v>
      </c>
      <c r="B70" s="552"/>
      <c r="C70" s="553">
        <f>SUM(D70:CY70)</f>
        <v>0</v>
      </c>
      <c r="D70" s="554">
        <f>D63</f>
        <v>0</v>
      </c>
      <c r="E70" s="554">
        <f t="shared" ref="E70:AI70" si="33">E63</f>
        <v>0</v>
      </c>
      <c r="F70" s="554">
        <f t="shared" si="33"/>
        <v>0</v>
      </c>
      <c r="G70" s="554">
        <f t="shared" si="33"/>
        <v>0</v>
      </c>
      <c r="H70" s="554">
        <f t="shared" si="33"/>
        <v>0</v>
      </c>
      <c r="I70" s="554">
        <f t="shared" si="33"/>
        <v>0</v>
      </c>
      <c r="J70" s="554">
        <f t="shared" si="33"/>
        <v>0</v>
      </c>
      <c r="K70" s="554">
        <f t="shared" si="33"/>
        <v>0</v>
      </c>
      <c r="L70" s="554">
        <f t="shared" si="33"/>
        <v>0</v>
      </c>
      <c r="M70" s="554">
        <f t="shared" si="33"/>
        <v>0</v>
      </c>
      <c r="N70" s="554">
        <f t="shared" si="33"/>
        <v>0</v>
      </c>
      <c r="O70" s="554">
        <f t="shared" si="33"/>
        <v>0</v>
      </c>
      <c r="P70" s="554">
        <f t="shared" si="33"/>
        <v>0</v>
      </c>
      <c r="Q70" s="554">
        <f t="shared" si="33"/>
        <v>0</v>
      </c>
      <c r="R70" s="554">
        <f t="shared" si="33"/>
        <v>0</v>
      </c>
      <c r="S70" s="554">
        <f t="shared" si="33"/>
        <v>0</v>
      </c>
      <c r="T70" s="554">
        <f t="shared" si="33"/>
        <v>0</v>
      </c>
      <c r="U70" s="554">
        <f t="shared" si="33"/>
        <v>0</v>
      </c>
      <c r="V70" s="554">
        <f t="shared" si="33"/>
        <v>0</v>
      </c>
      <c r="W70" s="554">
        <f t="shared" si="33"/>
        <v>0</v>
      </c>
      <c r="X70" s="554">
        <f t="shared" si="33"/>
        <v>0</v>
      </c>
      <c r="Y70" s="554">
        <f t="shared" si="33"/>
        <v>0</v>
      </c>
      <c r="Z70" s="554">
        <f t="shared" si="33"/>
        <v>0</v>
      </c>
      <c r="AA70" s="554">
        <f t="shared" si="33"/>
        <v>0</v>
      </c>
      <c r="AB70" s="554">
        <f t="shared" si="33"/>
        <v>0</v>
      </c>
      <c r="AC70" s="554">
        <f t="shared" si="33"/>
        <v>0</v>
      </c>
      <c r="AD70" s="554">
        <f t="shared" si="33"/>
        <v>0</v>
      </c>
      <c r="AE70" s="554">
        <f t="shared" si="33"/>
        <v>0</v>
      </c>
      <c r="AF70" s="554">
        <f t="shared" si="33"/>
        <v>0</v>
      </c>
      <c r="AG70" s="554">
        <f t="shared" si="33"/>
        <v>0</v>
      </c>
      <c r="AH70" s="554">
        <f t="shared" si="33"/>
        <v>0</v>
      </c>
      <c r="AI70" s="554">
        <f t="shared" si="33"/>
        <v>0</v>
      </c>
      <c r="AJ70" s="554">
        <f t="shared" ref="AJ70:BO70" si="34">AJ63</f>
        <v>0</v>
      </c>
      <c r="AK70" s="554">
        <f t="shared" si="34"/>
        <v>0</v>
      </c>
      <c r="AL70" s="554">
        <f t="shared" si="34"/>
        <v>0</v>
      </c>
      <c r="AM70" s="554">
        <f t="shared" si="34"/>
        <v>0</v>
      </c>
      <c r="AN70" s="554">
        <f t="shared" si="34"/>
        <v>0</v>
      </c>
      <c r="AO70" s="555">
        <f t="shared" si="34"/>
        <v>0</v>
      </c>
      <c r="AP70" s="554">
        <f t="shared" si="34"/>
        <v>0</v>
      </c>
      <c r="AQ70" s="554">
        <f t="shared" si="34"/>
        <v>0</v>
      </c>
      <c r="AR70" s="554">
        <f t="shared" si="34"/>
        <v>0</v>
      </c>
      <c r="AS70" s="554">
        <f t="shared" si="34"/>
        <v>0</v>
      </c>
      <c r="AT70" s="554">
        <f t="shared" si="34"/>
        <v>0</v>
      </c>
      <c r="AU70" s="554">
        <f t="shared" si="34"/>
        <v>0</v>
      </c>
      <c r="AV70" s="554">
        <f t="shared" si="34"/>
        <v>0</v>
      </c>
      <c r="AW70" s="554">
        <f t="shared" si="34"/>
        <v>0</v>
      </c>
      <c r="AX70" s="554">
        <f t="shared" si="34"/>
        <v>0</v>
      </c>
      <c r="AY70" s="554">
        <f t="shared" si="34"/>
        <v>0</v>
      </c>
      <c r="AZ70" s="554">
        <f t="shared" si="34"/>
        <v>0</v>
      </c>
      <c r="BA70" s="554">
        <f t="shared" si="34"/>
        <v>0</v>
      </c>
      <c r="BB70" s="554">
        <f t="shared" si="34"/>
        <v>0</v>
      </c>
      <c r="BC70" s="554">
        <f t="shared" si="34"/>
        <v>0</v>
      </c>
      <c r="BD70" s="554">
        <f t="shared" si="34"/>
        <v>0</v>
      </c>
      <c r="BE70" s="554">
        <f t="shared" si="34"/>
        <v>0</v>
      </c>
      <c r="BF70" s="554">
        <f t="shared" si="34"/>
        <v>0</v>
      </c>
      <c r="BG70" s="554">
        <f t="shared" si="34"/>
        <v>0</v>
      </c>
      <c r="BH70" s="554">
        <f t="shared" si="34"/>
        <v>0</v>
      </c>
      <c r="BI70" s="554">
        <f t="shared" si="34"/>
        <v>0</v>
      </c>
      <c r="BJ70" s="554">
        <f t="shared" si="34"/>
        <v>0</v>
      </c>
      <c r="BK70" s="555">
        <f t="shared" si="34"/>
        <v>0</v>
      </c>
      <c r="BL70" s="554">
        <f t="shared" si="34"/>
        <v>0</v>
      </c>
      <c r="BM70" s="554">
        <f t="shared" si="34"/>
        <v>0</v>
      </c>
      <c r="BN70" s="554">
        <f t="shared" si="34"/>
        <v>0</v>
      </c>
      <c r="BO70" s="554">
        <f t="shared" si="34"/>
        <v>0</v>
      </c>
      <c r="BP70" s="554">
        <f t="shared" ref="BP70:CY70" si="35">BP63</f>
        <v>0</v>
      </c>
      <c r="BQ70" s="554">
        <f t="shared" si="35"/>
        <v>0</v>
      </c>
      <c r="BR70" s="554">
        <f t="shared" si="35"/>
        <v>0</v>
      </c>
      <c r="BS70" s="554">
        <f t="shared" si="35"/>
        <v>0</v>
      </c>
      <c r="BT70" s="554">
        <f t="shared" si="35"/>
        <v>0</v>
      </c>
      <c r="BU70" s="554">
        <f t="shared" si="35"/>
        <v>0</v>
      </c>
      <c r="BV70" s="554">
        <f t="shared" si="35"/>
        <v>0</v>
      </c>
      <c r="BW70" s="554">
        <f t="shared" si="35"/>
        <v>0</v>
      </c>
      <c r="BX70" s="554">
        <f t="shared" si="35"/>
        <v>0</v>
      </c>
      <c r="BY70" s="554">
        <f t="shared" si="35"/>
        <v>0</v>
      </c>
      <c r="BZ70" s="554">
        <f t="shared" si="35"/>
        <v>0</v>
      </c>
      <c r="CA70" s="555">
        <f t="shared" si="35"/>
        <v>0</v>
      </c>
      <c r="CB70" s="554">
        <f t="shared" si="35"/>
        <v>0</v>
      </c>
      <c r="CC70" s="554">
        <f t="shared" si="35"/>
        <v>0</v>
      </c>
      <c r="CD70" s="554">
        <f t="shared" si="35"/>
        <v>0</v>
      </c>
      <c r="CE70" s="554">
        <f t="shared" si="35"/>
        <v>0</v>
      </c>
      <c r="CF70" s="554">
        <f t="shared" si="35"/>
        <v>0</v>
      </c>
      <c r="CG70" s="554">
        <f t="shared" si="35"/>
        <v>0</v>
      </c>
      <c r="CH70" s="554">
        <f t="shared" si="35"/>
        <v>0</v>
      </c>
      <c r="CI70" s="554">
        <f t="shared" si="35"/>
        <v>0</v>
      </c>
      <c r="CJ70" s="554">
        <f t="shared" si="35"/>
        <v>0</v>
      </c>
      <c r="CK70" s="554">
        <f t="shared" si="35"/>
        <v>0</v>
      </c>
      <c r="CL70" s="554">
        <f t="shared" si="35"/>
        <v>0</v>
      </c>
      <c r="CM70" s="554">
        <f t="shared" si="35"/>
        <v>0</v>
      </c>
      <c r="CN70" s="554">
        <f t="shared" si="35"/>
        <v>0</v>
      </c>
      <c r="CO70" s="554">
        <f t="shared" si="35"/>
        <v>0</v>
      </c>
      <c r="CP70" s="554">
        <f t="shared" si="35"/>
        <v>0</v>
      </c>
      <c r="CQ70" s="554">
        <f t="shared" si="35"/>
        <v>0</v>
      </c>
      <c r="CR70" s="554">
        <f t="shared" si="35"/>
        <v>0</v>
      </c>
      <c r="CS70" s="554">
        <f t="shared" si="35"/>
        <v>0</v>
      </c>
      <c r="CT70" s="554">
        <f t="shared" si="35"/>
        <v>0</v>
      </c>
      <c r="CU70" s="554">
        <f t="shared" si="35"/>
        <v>0</v>
      </c>
      <c r="CV70" s="554">
        <f t="shared" si="35"/>
        <v>0</v>
      </c>
      <c r="CW70" s="554">
        <f t="shared" si="35"/>
        <v>0</v>
      </c>
      <c r="CX70" s="554">
        <f t="shared" si="35"/>
        <v>0</v>
      </c>
      <c r="CY70" s="556">
        <f t="shared" si="35"/>
        <v>0</v>
      </c>
    </row>
    <row r="71" spans="1:103" ht="15" customHeight="1" thickBot="1" x14ac:dyDescent="0.4">
      <c r="A71" s="557" t="s">
        <v>561</v>
      </c>
      <c r="B71" s="558"/>
      <c r="C71" s="559">
        <f>SUM(D71:CY71)</f>
        <v>0</v>
      </c>
      <c r="D71" s="560">
        <f t="shared" ref="D71:AI71" si="36">D63-D52</f>
        <v>0</v>
      </c>
      <c r="E71" s="560">
        <f t="shared" si="36"/>
        <v>0</v>
      </c>
      <c r="F71" s="560">
        <f t="shared" si="36"/>
        <v>0</v>
      </c>
      <c r="G71" s="560">
        <f t="shared" si="36"/>
        <v>0</v>
      </c>
      <c r="H71" s="560">
        <f t="shared" si="36"/>
        <v>0</v>
      </c>
      <c r="I71" s="560">
        <f t="shared" si="36"/>
        <v>0</v>
      </c>
      <c r="J71" s="560">
        <f t="shared" si="36"/>
        <v>0</v>
      </c>
      <c r="K71" s="560">
        <f t="shared" si="36"/>
        <v>0</v>
      </c>
      <c r="L71" s="560">
        <f t="shared" si="36"/>
        <v>0</v>
      </c>
      <c r="M71" s="560">
        <f t="shared" si="36"/>
        <v>0</v>
      </c>
      <c r="N71" s="560">
        <f t="shared" si="36"/>
        <v>0</v>
      </c>
      <c r="O71" s="560">
        <f t="shared" si="36"/>
        <v>0</v>
      </c>
      <c r="P71" s="560">
        <f t="shared" si="36"/>
        <v>0</v>
      </c>
      <c r="Q71" s="560">
        <f t="shared" si="36"/>
        <v>0</v>
      </c>
      <c r="R71" s="560">
        <f t="shared" si="36"/>
        <v>0</v>
      </c>
      <c r="S71" s="560">
        <f t="shared" si="36"/>
        <v>0</v>
      </c>
      <c r="T71" s="560">
        <f t="shared" si="36"/>
        <v>0</v>
      </c>
      <c r="U71" s="560">
        <f t="shared" si="36"/>
        <v>0</v>
      </c>
      <c r="V71" s="560">
        <f t="shared" si="36"/>
        <v>0</v>
      </c>
      <c r="W71" s="560">
        <f t="shared" si="36"/>
        <v>0</v>
      </c>
      <c r="X71" s="560">
        <f t="shared" si="36"/>
        <v>0</v>
      </c>
      <c r="Y71" s="560">
        <f t="shared" si="36"/>
        <v>0</v>
      </c>
      <c r="Z71" s="560">
        <f t="shared" si="36"/>
        <v>0</v>
      </c>
      <c r="AA71" s="560">
        <f t="shared" si="36"/>
        <v>0</v>
      </c>
      <c r="AB71" s="560">
        <f t="shared" si="36"/>
        <v>0</v>
      </c>
      <c r="AC71" s="560">
        <f t="shared" si="36"/>
        <v>0</v>
      </c>
      <c r="AD71" s="560">
        <f t="shared" si="36"/>
        <v>0</v>
      </c>
      <c r="AE71" s="560">
        <f t="shared" si="36"/>
        <v>0</v>
      </c>
      <c r="AF71" s="560">
        <f t="shared" si="36"/>
        <v>0</v>
      </c>
      <c r="AG71" s="560">
        <f t="shared" si="36"/>
        <v>0</v>
      </c>
      <c r="AH71" s="560">
        <f t="shared" si="36"/>
        <v>0</v>
      </c>
      <c r="AI71" s="560">
        <f t="shared" si="36"/>
        <v>0</v>
      </c>
      <c r="AJ71" s="560">
        <f t="shared" ref="AJ71:BO71" si="37">AJ63-AJ52</f>
        <v>0</v>
      </c>
      <c r="AK71" s="560">
        <f t="shared" si="37"/>
        <v>0</v>
      </c>
      <c r="AL71" s="560">
        <f t="shared" si="37"/>
        <v>0</v>
      </c>
      <c r="AM71" s="560">
        <f t="shared" si="37"/>
        <v>0</v>
      </c>
      <c r="AN71" s="560">
        <f t="shared" si="37"/>
        <v>0</v>
      </c>
      <c r="AO71" s="561">
        <f t="shared" si="37"/>
        <v>0</v>
      </c>
      <c r="AP71" s="560">
        <f t="shared" si="37"/>
        <v>0</v>
      </c>
      <c r="AQ71" s="560">
        <f t="shared" si="37"/>
        <v>0</v>
      </c>
      <c r="AR71" s="560">
        <f t="shared" si="37"/>
        <v>0</v>
      </c>
      <c r="AS71" s="560">
        <f t="shared" si="37"/>
        <v>0</v>
      </c>
      <c r="AT71" s="560">
        <f t="shared" si="37"/>
        <v>0</v>
      </c>
      <c r="AU71" s="560">
        <f t="shared" si="37"/>
        <v>0</v>
      </c>
      <c r="AV71" s="560">
        <f t="shared" si="37"/>
        <v>0</v>
      </c>
      <c r="AW71" s="560">
        <f t="shared" si="37"/>
        <v>0</v>
      </c>
      <c r="AX71" s="560">
        <f t="shared" si="37"/>
        <v>0</v>
      </c>
      <c r="AY71" s="560">
        <f t="shared" si="37"/>
        <v>0</v>
      </c>
      <c r="AZ71" s="560">
        <f t="shared" si="37"/>
        <v>0</v>
      </c>
      <c r="BA71" s="560">
        <f t="shared" si="37"/>
        <v>0</v>
      </c>
      <c r="BB71" s="560">
        <f t="shared" si="37"/>
        <v>0</v>
      </c>
      <c r="BC71" s="560">
        <f t="shared" si="37"/>
        <v>0</v>
      </c>
      <c r="BD71" s="560">
        <f t="shared" si="37"/>
        <v>0</v>
      </c>
      <c r="BE71" s="560">
        <f t="shared" si="37"/>
        <v>0</v>
      </c>
      <c r="BF71" s="560">
        <f t="shared" si="37"/>
        <v>0</v>
      </c>
      <c r="BG71" s="560">
        <f t="shared" si="37"/>
        <v>0</v>
      </c>
      <c r="BH71" s="560">
        <f t="shared" si="37"/>
        <v>0</v>
      </c>
      <c r="BI71" s="560">
        <f t="shared" si="37"/>
        <v>0</v>
      </c>
      <c r="BJ71" s="560">
        <f t="shared" si="37"/>
        <v>0</v>
      </c>
      <c r="BK71" s="561">
        <f t="shared" si="37"/>
        <v>0</v>
      </c>
      <c r="BL71" s="560">
        <f t="shared" si="37"/>
        <v>0</v>
      </c>
      <c r="BM71" s="560">
        <f t="shared" si="37"/>
        <v>0</v>
      </c>
      <c r="BN71" s="560">
        <f t="shared" si="37"/>
        <v>0</v>
      </c>
      <c r="BO71" s="560">
        <f t="shared" si="37"/>
        <v>0</v>
      </c>
      <c r="BP71" s="560">
        <f t="shared" ref="BP71:CY71" si="38">BP63-BP52</f>
        <v>0</v>
      </c>
      <c r="BQ71" s="560">
        <f t="shared" si="38"/>
        <v>0</v>
      </c>
      <c r="BR71" s="560">
        <f t="shared" si="38"/>
        <v>0</v>
      </c>
      <c r="BS71" s="560">
        <f t="shared" si="38"/>
        <v>0</v>
      </c>
      <c r="BT71" s="560">
        <f t="shared" si="38"/>
        <v>0</v>
      </c>
      <c r="BU71" s="560">
        <f t="shared" si="38"/>
        <v>0</v>
      </c>
      <c r="BV71" s="560">
        <f t="shared" si="38"/>
        <v>0</v>
      </c>
      <c r="BW71" s="560">
        <f t="shared" si="38"/>
        <v>0</v>
      </c>
      <c r="BX71" s="560">
        <f t="shared" si="38"/>
        <v>0</v>
      </c>
      <c r="BY71" s="560">
        <f t="shared" si="38"/>
        <v>0</v>
      </c>
      <c r="BZ71" s="560">
        <f t="shared" si="38"/>
        <v>0</v>
      </c>
      <c r="CA71" s="561">
        <f t="shared" si="38"/>
        <v>0</v>
      </c>
      <c r="CB71" s="560">
        <f t="shared" si="38"/>
        <v>0</v>
      </c>
      <c r="CC71" s="560">
        <f t="shared" si="38"/>
        <v>0</v>
      </c>
      <c r="CD71" s="560">
        <f t="shared" si="38"/>
        <v>0</v>
      </c>
      <c r="CE71" s="560">
        <f t="shared" si="38"/>
        <v>0</v>
      </c>
      <c r="CF71" s="560">
        <f t="shared" si="38"/>
        <v>0</v>
      </c>
      <c r="CG71" s="560">
        <f t="shared" si="38"/>
        <v>0</v>
      </c>
      <c r="CH71" s="560">
        <f t="shared" si="38"/>
        <v>0</v>
      </c>
      <c r="CI71" s="560">
        <f t="shared" si="38"/>
        <v>0</v>
      </c>
      <c r="CJ71" s="560">
        <f t="shared" si="38"/>
        <v>0</v>
      </c>
      <c r="CK71" s="560">
        <f t="shared" si="38"/>
        <v>0</v>
      </c>
      <c r="CL71" s="560">
        <f t="shared" si="38"/>
        <v>0</v>
      </c>
      <c r="CM71" s="560">
        <f t="shared" si="38"/>
        <v>0</v>
      </c>
      <c r="CN71" s="560">
        <f t="shared" si="38"/>
        <v>0</v>
      </c>
      <c r="CO71" s="560">
        <f t="shared" si="38"/>
        <v>0</v>
      </c>
      <c r="CP71" s="560">
        <f t="shared" si="38"/>
        <v>0</v>
      </c>
      <c r="CQ71" s="560">
        <f t="shared" si="38"/>
        <v>0</v>
      </c>
      <c r="CR71" s="560">
        <f t="shared" si="38"/>
        <v>0</v>
      </c>
      <c r="CS71" s="560">
        <f t="shared" si="38"/>
        <v>0</v>
      </c>
      <c r="CT71" s="560">
        <f t="shared" si="38"/>
        <v>0</v>
      </c>
      <c r="CU71" s="560">
        <f t="shared" si="38"/>
        <v>0</v>
      </c>
      <c r="CV71" s="560">
        <f t="shared" si="38"/>
        <v>0</v>
      </c>
      <c r="CW71" s="560">
        <f t="shared" si="38"/>
        <v>0</v>
      </c>
      <c r="CX71" s="560">
        <f t="shared" si="38"/>
        <v>0</v>
      </c>
      <c r="CY71" s="562">
        <f t="shared" si="38"/>
        <v>0</v>
      </c>
    </row>
    <row r="72" spans="1:103" ht="15" customHeight="1" thickBot="1" x14ac:dyDescent="0.4">
      <c r="A72" s="550"/>
      <c r="B72" s="535"/>
      <c r="C72" s="536"/>
      <c r="D72" s="491"/>
      <c r="E72" s="491"/>
      <c r="F72" s="491"/>
      <c r="G72" s="491"/>
      <c r="H72" s="491"/>
      <c r="I72" s="491"/>
      <c r="J72" s="491"/>
      <c r="K72" s="491"/>
      <c r="L72" s="491"/>
      <c r="M72" s="491"/>
      <c r="N72" s="491"/>
      <c r="O72" s="491"/>
      <c r="P72" s="491"/>
      <c r="Q72" s="491"/>
      <c r="R72" s="491"/>
      <c r="S72" s="491"/>
      <c r="T72" s="491"/>
      <c r="U72" s="491"/>
      <c r="V72" s="491"/>
      <c r="W72" s="491"/>
      <c r="X72" s="491"/>
      <c r="Y72" s="491"/>
      <c r="Z72" s="491"/>
      <c r="AA72" s="491"/>
      <c r="AB72" s="491"/>
      <c r="AC72" s="491"/>
      <c r="AD72" s="491"/>
      <c r="AE72" s="491"/>
      <c r="AF72" s="491"/>
      <c r="AG72" s="491"/>
      <c r="AH72" s="491"/>
      <c r="AI72" s="491"/>
      <c r="AJ72" s="491"/>
      <c r="AK72" s="491"/>
      <c r="AL72" s="491"/>
      <c r="AM72" s="491"/>
      <c r="AN72" s="491"/>
      <c r="AO72" s="492"/>
      <c r="AP72" s="491"/>
      <c r="AQ72" s="491"/>
      <c r="AR72" s="491"/>
      <c r="AS72" s="491"/>
      <c r="AT72" s="491"/>
      <c r="AU72" s="491"/>
      <c r="AV72" s="491"/>
      <c r="AW72" s="491"/>
      <c r="AX72" s="491"/>
      <c r="AY72" s="491"/>
      <c r="AZ72" s="491"/>
      <c r="BA72" s="491"/>
      <c r="BB72" s="491"/>
      <c r="BC72" s="491"/>
      <c r="BD72" s="491"/>
      <c r="BE72" s="491"/>
      <c r="BF72" s="491"/>
      <c r="BG72" s="491"/>
      <c r="BH72" s="491"/>
      <c r="BI72" s="491"/>
      <c r="BJ72" s="491"/>
      <c r="BK72" s="492"/>
      <c r="BL72" s="491"/>
      <c r="BM72" s="491"/>
      <c r="BN72" s="491"/>
      <c r="BO72" s="491"/>
      <c r="BP72" s="491"/>
      <c r="BQ72" s="491"/>
      <c r="BR72" s="491"/>
      <c r="BS72" s="491"/>
      <c r="BT72" s="491"/>
      <c r="BU72" s="491"/>
      <c r="BV72" s="491"/>
      <c r="BW72" s="491"/>
      <c r="BX72" s="491"/>
      <c r="BY72" s="491"/>
      <c r="BZ72" s="491"/>
      <c r="CA72" s="492"/>
      <c r="CB72" s="491"/>
      <c r="CC72" s="491"/>
      <c r="CD72" s="491"/>
      <c r="CE72" s="491"/>
      <c r="CF72" s="491"/>
      <c r="CG72" s="491"/>
      <c r="CH72" s="491"/>
      <c r="CI72" s="491"/>
      <c r="CJ72" s="491"/>
      <c r="CK72" s="491"/>
      <c r="CL72" s="491"/>
      <c r="CM72" s="491"/>
      <c r="CN72" s="491"/>
      <c r="CO72" s="491"/>
      <c r="CP72" s="491"/>
      <c r="CQ72" s="491"/>
      <c r="CR72" s="491"/>
      <c r="CS72" s="491"/>
      <c r="CT72" s="491"/>
      <c r="CU72" s="491"/>
      <c r="CV72" s="491"/>
      <c r="CW72" s="491"/>
      <c r="CX72" s="491"/>
      <c r="CY72" s="493"/>
    </row>
    <row r="73" spans="1:103" s="202" customFormat="1" ht="15" customHeight="1" x14ac:dyDescent="0.35">
      <c r="A73" s="871" t="s">
        <v>562</v>
      </c>
      <c r="B73" s="872"/>
      <c r="C73" s="873" t="e">
        <f ca="1">SUM(D73:CY73)</f>
        <v>#REF!</v>
      </c>
      <c r="D73" s="874" t="e">
        <f ca="1">D70-D67</f>
        <v>#REF!</v>
      </c>
      <c r="E73" s="874">
        <f ca="1">E70-E67</f>
        <v>0</v>
      </c>
      <c r="F73" s="874">
        <f t="shared" ref="F73:BQ73" ca="1" si="39">F70-F67</f>
        <v>0</v>
      </c>
      <c r="G73" s="874">
        <f t="shared" ca="1" si="39"/>
        <v>0</v>
      </c>
      <c r="H73" s="874">
        <f t="shared" ca="1" si="39"/>
        <v>0</v>
      </c>
      <c r="I73" s="874">
        <f t="shared" ca="1" si="39"/>
        <v>0</v>
      </c>
      <c r="J73" s="874">
        <f t="shared" ca="1" si="39"/>
        <v>0</v>
      </c>
      <c r="K73" s="874">
        <f t="shared" ca="1" si="39"/>
        <v>0</v>
      </c>
      <c r="L73" s="874">
        <f t="shared" ca="1" si="39"/>
        <v>0</v>
      </c>
      <c r="M73" s="874">
        <f t="shared" ca="1" si="39"/>
        <v>0</v>
      </c>
      <c r="N73" s="874">
        <f t="shared" ca="1" si="39"/>
        <v>0</v>
      </c>
      <c r="O73" s="874">
        <f t="shared" ca="1" si="39"/>
        <v>0</v>
      </c>
      <c r="P73" s="874">
        <f t="shared" ca="1" si="39"/>
        <v>0</v>
      </c>
      <c r="Q73" s="874">
        <f t="shared" ca="1" si="39"/>
        <v>0</v>
      </c>
      <c r="R73" s="874">
        <f t="shared" ca="1" si="39"/>
        <v>0</v>
      </c>
      <c r="S73" s="874">
        <f t="shared" ca="1" si="39"/>
        <v>0</v>
      </c>
      <c r="T73" s="874">
        <f t="shared" ca="1" si="39"/>
        <v>0</v>
      </c>
      <c r="U73" s="874">
        <f t="shared" ca="1" si="39"/>
        <v>0</v>
      </c>
      <c r="V73" s="874">
        <f t="shared" ca="1" si="39"/>
        <v>0</v>
      </c>
      <c r="W73" s="874">
        <f t="shared" ca="1" si="39"/>
        <v>0</v>
      </c>
      <c r="X73" s="874">
        <f t="shared" ca="1" si="39"/>
        <v>0</v>
      </c>
      <c r="Y73" s="874">
        <f t="shared" ca="1" si="39"/>
        <v>0</v>
      </c>
      <c r="Z73" s="874">
        <f t="shared" ca="1" si="39"/>
        <v>0</v>
      </c>
      <c r="AA73" s="874">
        <f t="shared" ca="1" si="39"/>
        <v>0</v>
      </c>
      <c r="AB73" s="874">
        <f t="shared" ca="1" si="39"/>
        <v>0</v>
      </c>
      <c r="AC73" s="874">
        <f t="shared" ca="1" si="39"/>
        <v>0</v>
      </c>
      <c r="AD73" s="874">
        <f t="shared" ca="1" si="39"/>
        <v>0</v>
      </c>
      <c r="AE73" s="874">
        <f t="shared" ca="1" si="39"/>
        <v>0</v>
      </c>
      <c r="AF73" s="874">
        <f t="shared" ca="1" si="39"/>
        <v>0</v>
      </c>
      <c r="AG73" s="874">
        <f t="shared" ca="1" si="39"/>
        <v>0</v>
      </c>
      <c r="AH73" s="874">
        <f t="shared" ca="1" si="39"/>
        <v>0</v>
      </c>
      <c r="AI73" s="874">
        <f t="shared" ca="1" si="39"/>
        <v>0</v>
      </c>
      <c r="AJ73" s="874">
        <f t="shared" ca="1" si="39"/>
        <v>0</v>
      </c>
      <c r="AK73" s="874">
        <f t="shared" ca="1" si="39"/>
        <v>0</v>
      </c>
      <c r="AL73" s="874">
        <f t="shared" ca="1" si="39"/>
        <v>0</v>
      </c>
      <c r="AM73" s="874">
        <f t="shared" ca="1" si="39"/>
        <v>0</v>
      </c>
      <c r="AN73" s="874">
        <f t="shared" ca="1" si="39"/>
        <v>0</v>
      </c>
      <c r="AO73" s="875">
        <f t="shared" ca="1" si="39"/>
        <v>0</v>
      </c>
      <c r="AP73" s="874">
        <f t="shared" ca="1" si="39"/>
        <v>0</v>
      </c>
      <c r="AQ73" s="874">
        <f t="shared" ca="1" si="39"/>
        <v>0</v>
      </c>
      <c r="AR73" s="874">
        <f t="shared" ca="1" si="39"/>
        <v>0</v>
      </c>
      <c r="AS73" s="874">
        <f t="shared" ca="1" si="39"/>
        <v>0</v>
      </c>
      <c r="AT73" s="874">
        <f t="shared" ca="1" si="39"/>
        <v>0</v>
      </c>
      <c r="AU73" s="874">
        <f t="shared" ca="1" si="39"/>
        <v>0</v>
      </c>
      <c r="AV73" s="874">
        <f t="shared" ca="1" si="39"/>
        <v>0</v>
      </c>
      <c r="AW73" s="874">
        <f t="shared" ca="1" si="39"/>
        <v>0</v>
      </c>
      <c r="AX73" s="874">
        <f t="shared" ca="1" si="39"/>
        <v>0</v>
      </c>
      <c r="AY73" s="874">
        <f t="shared" ca="1" si="39"/>
        <v>0</v>
      </c>
      <c r="AZ73" s="874">
        <f t="shared" ca="1" si="39"/>
        <v>0</v>
      </c>
      <c r="BA73" s="874">
        <f t="shared" ca="1" si="39"/>
        <v>0</v>
      </c>
      <c r="BB73" s="874">
        <f t="shared" ca="1" si="39"/>
        <v>0</v>
      </c>
      <c r="BC73" s="874">
        <f t="shared" ca="1" si="39"/>
        <v>0</v>
      </c>
      <c r="BD73" s="874">
        <f t="shared" ca="1" si="39"/>
        <v>0</v>
      </c>
      <c r="BE73" s="874">
        <f t="shared" ca="1" si="39"/>
        <v>0</v>
      </c>
      <c r="BF73" s="874">
        <f t="shared" ca="1" si="39"/>
        <v>0</v>
      </c>
      <c r="BG73" s="874">
        <f t="shared" ca="1" si="39"/>
        <v>0</v>
      </c>
      <c r="BH73" s="874">
        <f t="shared" ca="1" si="39"/>
        <v>0</v>
      </c>
      <c r="BI73" s="874">
        <f t="shared" ca="1" si="39"/>
        <v>0</v>
      </c>
      <c r="BJ73" s="874">
        <f t="shared" ca="1" si="39"/>
        <v>0</v>
      </c>
      <c r="BK73" s="875">
        <f t="shared" ca="1" si="39"/>
        <v>0</v>
      </c>
      <c r="BL73" s="874">
        <f t="shared" ca="1" si="39"/>
        <v>0</v>
      </c>
      <c r="BM73" s="874">
        <f t="shared" ca="1" si="39"/>
        <v>0</v>
      </c>
      <c r="BN73" s="874">
        <f t="shared" ca="1" si="39"/>
        <v>0</v>
      </c>
      <c r="BO73" s="874">
        <f t="shared" ca="1" si="39"/>
        <v>0</v>
      </c>
      <c r="BP73" s="874">
        <f t="shared" ca="1" si="39"/>
        <v>0</v>
      </c>
      <c r="BQ73" s="874">
        <f t="shared" ca="1" si="39"/>
        <v>0</v>
      </c>
      <c r="BR73" s="874">
        <f t="shared" ref="BR73:CY73" ca="1" si="40">BR70-BR67</f>
        <v>0</v>
      </c>
      <c r="BS73" s="874">
        <f t="shared" ca="1" si="40"/>
        <v>0</v>
      </c>
      <c r="BT73" s="874">
        <f t="shared" ca="1" si="40"/>
        <v>0</v>
      </c>
      <c r="BU73" s="874">
        <f t="shared" ca="1" si="40"/>
        <v>0</v>
      </c>
      <c r="BV73" s="874">
        <f t="shared" ca="1" si="40"/>
        <v>0</v>
      </c>
      <c r="BW73" s="874">
        <f t="shared" ca="1" si="40"/>
        <v>0</v>
      </c>
      <c r="BX73" s="874">
        <f t="shared" ca="1" si="40"/>
        <v>0</v>
      </c>
      <c r="BY73" s="874">
        <f t="shared" ca="1" si="40"/>
        <v>0</v>
      </c>
      <c r="BZ73" s="874">
        <f t="shared" ca="1" si="40"/>
        <v>0</v>
      </c>
      <c r="CA73" s="875">
        <f t="shared" ca="1" si="40"/>
        <v>0</v>
      </c>
      <c r="CB73" s="874">
        <f t="shared" ca="1" si="40"/>
        <v>0</v>
      </c>
      <c r="CC73" s="874">
        <f t="shared" ca="1" si="40"/>
        <v>0</v>
      </c>
      <c r="CD73" s="874">
        <f t="shared" ca="1" si="40"/>
        <v>0</v>
      </c>
      <c r="CE73" s="874">
        <f t="shared" ca="1" si="40"/>
        <v>0</v>
      </c>
      <c r="CF73" s="874">
        <f t="shared" ca="1" si="40"/>
        <v>0</v>
      </c>
      <c r="CG73" s="874">
        <f t="shared" ca="1" si="40"/>
        <v>0</v>
      </c>
      <c r="CH73" s="874">
        <f t="shared" ca="1" si="40"/>
        <v>0</v>
      </c>
      <c r="CI73" s="874">
        <f t="shared" ca="1" si="40"/>
        <v>0</v>
      </c>
      <c r="CJ73" s="874">
        <f t="shared" ca="1" si="40"/>
        <v>0</v>
      </c>
      <c r="CK73" s="874">
        <f t="shared" ca="1" si="40"/>
        <v>0</v>
      </c>
      <c r="CL73" s="874">
        <f t="shared" ca="1" si="40"/>
        <v>0</v>
      </c>
      <c r="CM73" s="874">
        <f t="shared" ca="1" si="40"/>
        <v>0</v>
      </c>
      <c r="CN73" s="874">
        <f t="shared" ca="1" si="40"/>
        <v>0</v>
      </c>
      <c r="CO73" s="874">
        <f t="shared" ca="1" si="40"/>
        <v>0</v>
      </c>
      <c r="CP73" s="874">
        <f t="shared" ca="1" si="40"/>
        <v>0</v>
      </c>
      <c r="CQ73" s="874">
        <f t="shared" ca="1" si="40"/>
        <v>0</v>
      </c>
      <c r="CR73" s="874">
        <f t="shared" ca="1" si="40"/>
        <v>0</v>
      </c>
      <c r="CS73" s="874">
        <f t="shared" ca="1" si="40"/>
        <v>0</v>
      </c>
      <c r="CT73" s="874">
        <f t="shared" ca="1" si="40"/>
        <v>0</v>
      </c>
      <c r="CU73" s="874">
        <f t="shared" ca="1" si="40"/>
        <v>0</v>
      </c>
      <c r="CV73" s="874">
        <f t="shared" ca="1" si="40"/>
        <v>0</v>
      </c>
      <c r="CW73" s="874">
        <f t="shared" ca="1" si="40"/>
        <v>0</v>
      </c>
      <c r="CX73" s="874">
        <f t="shared" ca="1" si="40"/>
        <v>0</v>
      </c>
      <c r="CY73" s="876">
        <f t="shared" ca="1" si="40"/>
        <v>0</v>
      </c>
    </row>
    <row r="74" spans="1:103" s="202" customFormat="1" ht="15" customHeight="1" thickBot="1" x14ac:dyDescent="0.4">
      <c r="A74" s="877" t="s">
        <v>563</v>
      </c>
      <c r="B74" s="878"/>
      <c r="C74" s="879" t="e">
        <f ca="1">SUM(D74:CY74)</f>
        <v>#REF!</v>
      </c>
      <c r="D74" s="880" t="e">
        <f ca="1">D71-D68</f>
        <v>#REF!</v>
      </c>
      <c r="E74" s="880">
        <f ca="1">E71-E68</f>
        <v>0</v>
      </c>
      <c r="F74" s="880">
        <f t="shared" ref="F74:BQ74" ca="1" si="41">F71-F68</f>
        <v>0</v>
      </c>
      <c r="G74" s="880">
        <f t="shared" ca="1" si="41"/>
        <v>0</v>
      </c>
      <c r="H74" s="880">
        <f t="shared" ca="1" si="41"/>
        <v>0</v>
      </c>
      <c r="I74" s="880">
        <f t="shared" ca="1" si="41"/>
        <v>0</v>
      </c>
      <c r="J74" s="880">
        <f t="shared" ca="1" si="41"/>
        <v>0</v>
      </c>
      <c r="K74" s="880">
        <f t="shared" ca="1" si="41"/>
        <v>0</v>
      </c>
      <c r="L74" s="880">
        <f t="shared" ca="1" si="41"/>
        <v>0</v>
      </c>
      <c r="M74" s="880">
        <f t="shared" ca="1" si="41"/>
        <v>0</v>
      </c>
      <c r="N74" s="880">
        <f t="shared" ca="1" si="41"/>
        <v>0</v>
      </c>
      <c r="O74" s="880">
        <f t="shared" ca="1" si="41"/>
        <v>0</v>
      </c>
      <c r="P74" s="880">
        <f t="shared" ca="1" si="41"/>
        <v>0</v>
      </c>
      <c r="Q74" s="880">
        <f t="shared" ca="1" si="41"/>
        <v>0</v>
      </c>
      <c r="R74" s="880">
        <f t="shared" ca="1" si="41"/>
        <v>0</v>
      </c>
      <c r="S74" s="880">
        <f t="shared" ca="1" si="41"/>
        <v>0</v>
      </c>
      <c r="T74" s="880">
        <f t="shared" ca="1" si="41"/>
        <v>0</v>
      </c>
      <c r="U74" s="880">
        <f t="shared" ca="1" si="41"/>
        <v>0</v>
      </c>
      <c r="V74" s="880">
        <f t="shared" ca="1" si="41"/>
        <v>0</v>
      </c>
      <c r="W74" s="880">
        <f t="shared" ca="1" si="41"/>
        <v>0</v>
      </c>
      <c r="X74" s="880">
        <f t="shared" ca="1" si="41"/>
        <v>0</v>
      </c>
      <c r="Y74" s="880">
        <f t="shared" ca="1" si="41"/>
        <v>0</v>
      </c>
      <c r="Z74" s="880">
        <f t="shared" ca="1" si="41"/>
        <v>0</v>
      </c>
      <c r="AA74" s="880">
        <f t="shared" ca="1" si="41"/>
        <v>0</v>
      </c>
      <c r="AB74" s="880">
        <f t="shared" ca="1" si="41"/>
        <v>0</v>
      </c>
      <c r="AC74" s="880">
        <f t="shared" ca="1" si="41"/>
        <v>0</v>
      </c>
      <c r="AD74" s="880">
        <f t="shared" ca="1" si="41"/>
        <v>0</v>
      </c>
      <c r="AE74" s="880">
        <f t="shared" ca="1" si="41"/>
        <v>0</v>
      </c>
      <c r="AF74" s="880">
        <f t="shared" ca="1" si="41"/>
        <v>0</v>
      </c>
      <c r="AG74" s="880">
        <f t="shared" ca="1" si="41"/>
        <v>0</v>
      </c>
      <c r="AH74" s="880">
        <f t="shared" ca="1" si="41"/>
        <v>0</v>
      </c>
      <c r="AI74" s="880">
        <f t="shared" ca="1" si="41"/>
        <v>0</v>
      </c>
      <c r="AJ74" s="880">
        <f t="shared" ca="1" si="41"/>
        <v>0</v>
      </c>
      <c r="AK74" s="880">
        <f t="shared" ca="1" si="41"/>
        <v>0</v>
      </c>
      <c r="AL74" s="880">
        <f t="shared" ca="1" si="41"/>
        <v>0</v>
      </c>
      <c r="AM74" s="880">
        <f t="shared" ca="1" si="41"/>
        <v>0</v>
      </c>
      <c r="AN74" s="880">
        <f t="shared" ca="1" si="41"/>
        <v>0</v>
      </c>
      <c r="AO74" s="881">
        <f t="shared" ca="1" si="41"/>
        <v>0</v>
      </c>
      <c r="AP74" s="880">
        <f t="shared" ca="1" si="41"/>
        <v>0</v>
      </c>
      <c r="AQ74" s="880">
        <f t="shared" ca="1" si="41"/>
        <v>0</v>
      </c>
      <c r="AR74" s="880">
        <f t="shared" ca="1" si="41"/>
        <v>0</v>
      </c>
      <c r="AS74" s="880">
        <f t="shared" ca="1" si="41"/>
        <v>0</v>
      </c>
      <c r="AT74" s="880">
        <f t="shared" ca="1" si="41"/>
        <v>0</v>
      </c>
      <c r="AU74" s="880">
        <f t="shared" ca="1" si="41"/>
        <v>0</v>
      </c>
      <c r="AV74" s="880">
        <f t="shared" ca="1" si="41"/>
        <v>0</v>
      </c>
      <c r="AW74" s="880">
        <f t="shared" ca="1" si="41"/>
        <v>0</v>
      </c>
      <c r="AX74" s="880">
        <f t="shared" ca="1" si="41"/>
        <v>0</v>
      </c>
      <c r="AY74" s="880">
        <f t="shared" ca="1" si="41"/>
        <v>0</v>
      </c>
      <c r="AZ74" s="880">
        <f t="shared" ca="1" si="41"/>
        <v>0</v>
      </c>
      <c r="BA74" s="880">
        <f t="shared" ca="1" si="41"/>
        <v>0</v>
      </c>
      <c r="BB74" s="880">
        <f t="shared" ca="1" si="41"/>
        <v>0</v>
      </c>
      <c r="BC74" s="880">
        <f t="shared" ca="1" si="41"/>
        <v>0</v>
      </c>
      <c r="BD74" s="880">
        <f t="shared" ca="1" si="41"/>
        <v>0</v>
      </c>
      <c r="BE74" s="880">
        <f t="shared" ca="1" si="41"/>
        <v>0</v>
      </c>
      <c r="BF74" s="880">
        <f t="shared" ca="1" si="41"/>
        <v>0</v>
      </c>
      <c r="BG74" s="880">
        <f t="shared" ca="1" si="41"/>
        <v>0</v>
      </c>
      <c r="BH74" s="880">
        <f t="shared" ca="1" si="41"/>
        <v>0</v>
      </c>
      <c r="BI74" s="880">
        <f t="shared" ca="1" si="41"/>
        <v>0</v>
      </c>
      <c r="BJ74" s="880">
        <f t="shared" ca="1" si="41"/>
        <v>0</v>
      </c>
      <c r="BK74" s="881">
        <f t="shared" ca="1" si="41"/>
        <v>0</v>
      </c>
      <c r="BL74" s="880">
        <f t="shared" ca="1" si="41"/>
        <v>0</v>
      </c>
      <c r="BM74" s="880">
        <f t="shared" ca="1" si="41"/>
        <v>0</v>
      </c>
      <c r="BN74" s="880">
        <f t="shared" ca="1" si="41"/>
        <v>0</v>
      </c>
      <c r="BO74" s="880">
        <f t="shared" ca="1" si="41"/>
        <v>0</v>
      </c>
      <c r="BP74" s="880">
        <f t="shared" ca="1" si="41"/>
        <v>0</v>
      </c>
      <c r="BQ74" s="880">
        <f t="shared" ca="1" si="41"/>
        <v>0</v>
      </c>
      <c r="BR74" s="880">
        <f t="shared" ref="BR74:CY74" ca="1" si="42">BR71-BR68</f>
        <v>0</v>
      </c>
      <c r="BS74" s="880">
        <f t="shared" ca="1" si="42"/>
        <v>0</v>
      </c>
      <c r="BT74" s="880">
        <f t="shared" ca="1" si="42"/>
        <v>0</v>
      </c>
      <c r="BU74" s="880">
        <f t="shared" ca="1" si="42"/>
        <v>0</v>
      </c>
      <c r="BV74" s="880">
        <f t="shared" ca="1" si="42"/>
        <v>0</v>
      </c>
      <c r="BW74" s="880">
        <f t="shared" ca="1" si="42"/>
        <v>0</v>
      </c>
      <c r="BX74" s="880">
        <f t="shared" ca="1" si="42"/>
        <v>0</v>
      </c>
      <c r="BY74" s="880">
        <f t="shared" ca="1" si="42"/>
        <v>0</v>
      </c>
      <c r="BZ74" s="880">
        <f t="shared" ca="1" si="42"/>
        <v>0</v>
      </c>
      <c r="CA74" s="881">
        <f t="shared" ca="1" si="42"/>
        <v>0</v>
      </c>
      <c r="CB74" s="880">
        <f t="shared" ca="1" si="42"/>
        <v>0</v>
      </c>
      <c r="CC74" s="880">
        <f t="shared" ca="1" si="42"/>
        <v>0</v>
      </c>
      <c r="CD74" s="880">
        <f t="shared" ca="1" si="42"/>
        <v>0</v>
      </c>
      <c r="CE74" s="880">
        <f t="shared" ca="1" si="42"/>
        <v>0</v>
      </c>
      <c r="CF74" s="880">
        <f t="shared" ca="1" si="42"/>
        <v>0</v>
      </c>
      <c r="CG74" s="880">
        <f t="shared" ca="1" si="42"/>
        <v>0</v>
      </c>
      <c r="CH74" s="880">
        <f t="shared" ca="1" si="42"/>
        <v>0</v>
      </c>
      <c r="CI74" s="880">
        <f t="shared" ca="1" si="42"/>
        <v>0</v>
      </c>
      <c r="CJ74" s="880">
        <f t="shared" ca="1" si="42"/>
        <v>0</v>
      </c>
      <c r="CK74" s="880">
        <f t="shared" ca="1" si="42"/>
        <v>0</v>
      </c>
      <c r="CL74" s="880">
        <f t="shared" ca="1" si="42"/>
        <v>0</v>
      </c>
      <c r="CM74" s="880">
        <f t="shared" ca="1" si="42"/>
        <v>0</v>
      </c>
      <c r="CN74" s="880">
        <f t="shared" ca="1" si="42"/>
        <v>0</v>
      </c>
      <c r="CO74" s="880">
        <f t="shared" ca="1" si="42"/>
        <v>0</v>
      </c>
      <c r="CP74" s="880">
        <f t="shared" ca="1" si="42"/>
        <v>0</v>
      </c>
      <c r="CQ74" s="880">
        <f t="shared" ca="1" si="42"/>
        <v>0</v>
      </c>
      <c r="CR74" s="880">
        <f t="shared" ca="1" si="42"/>
        <v>0</v>
      </c>
      <c r="CS74" s="880">
        <f t="shared" ca="1" si="42"/>
        <v>0</v>
      </c>
      <c r="CT74" s="880">
        <f t="shared" ca="1" si="42"/>
        <v>0</v>
      </c>
      <c r="CU74" s="880">
        <f t="shared" ca="1" si="42"/>
        <v>0</v>
      </c>
      <c r="CV74" s="880">
        <f t="shared" ca="1" si="42"/>
        <v>0</v>
      </c>
      <c r="CW74" s="880">
        <f t="shared" ca="1" si="42"/>
        <v>0</v>
      </c>
      <c r="CX74" s="880">
        <f t="shared" ca="1" si="42"/>
        <v>0</v>
      </c>
      <c r="CY74" s="882">
        <f t="shared" ca="1" si="42"/>
        <v>0</v>
      </c>
    </row>
    <row r="75" spans="1:103" ht="15" customHeight="1" x14ac:dyDescent="0.35">
      <c r="A75" s="534"/>
      <c r="B75" s="535"/>
      <c r="C75" s="536"/>
      <c r="D75" s="491"/>
      <c r="E75" s="491"/>
      <c r="F75" s="491"/>
      <c r="G75" s="491"/>
      <c r="H75" s="491"/>
      <c r="I75" s="491"/>
      <c r="J75" s="491"/>
      <c r="K75" s="491"/>
      <c r="L75" s="491"/>
      <c r="M75" s="491"/>
      <c r="N75" s="491"/>
      <c r="O75" s="491"/>
      <c r="P75" s="491"/>
      <c r="Q75" s="491"/>
      <c r="R75" s="491"/>
      <c r="S75" s="491"/>
      <c r="T75" s="491"/>
      <c r="U75" s="491"/>
      <c r="V75" s="491"/>
      <c r="W75" s="491"/>
      <c r="X75" s="491"/>
      <c r="Y75" s="491"/>
      <c r="Z75" s="491"/>
      <c r="AA75" s="491"/>
      <c r="AB75" s="491"/>
      <c r="AC75" s="491"/>
      <c r="AD75" s="491"/>
      <c r="AE75" s="491"/>
      <c r="AF75" s="491"/>
      <c r="AG75" s="491"/>
      <c r="AH75" s="491"/>
      <c r="AI75" s="491"/>
      <c r="AJ75" s="491"/>
      <c r="AK75" s="491"/>
      <c r="AL75" s="491"/>
      <c r="AM75" s="491"/>
      <c r="AN75" s="491"/>
      <c r="AO75" s="492"/>
      <c r="AP75" s="491"/>
      <c r="AQ75" s="491"/>
      <c r="AR75" s="491"/>
      <c r="AS75" s="491"/>
      <c r="AT75" s="491"/>
      <c r="AU75" s="491"/>
      <c r="AV75" s="491"/>
      <c r="AW75" s="491"/>
      <c r="AX75" s="491"/>
      <c r="AY75" s="491"/>
      <c r="AZ75" s="491"/>
      <c r="BA75" s="491"/>
      <c r="BB75" s="491"/>
      <c r="BC75" s="491"/>
      <c r="BD75" s="491"/>
      <c r="BE75" s="491"/>
      <c r="BF75" s="491"/>
      <c r="BG75" s="491"/>
      <c r="BH75" s="491"/>
      <c r="BI75" s="491"/>
      <c r="BJ75" s="491"/>
      <c r="BK75" s="492"/>
      <c r="BL75" s="491"/>
      <c r="BM75" s="491"/>
      <c r="BN75" s="491"/>
      <c r="BO75" s="491"/>
      <c r="BP75" s="491"/>
      <c r="BQ75" s="491"/>
      <c r="BR75" s="491"/>
      <c r="BS75" s="491"/>
      <c r="BT75" s="491"/>
      <c r="BU75" s="491"/>
      <c r="BV75" s="491"/>
      <c r="BW75" s="491"/>
      <c r="BX75" s="491"/>
      <c r="BY75" s="491"/>
      <c r="BZ75" s="491"/>
      <c r="CA75" s="492"/>
      <c r="CB75" s="491"/>
      <c r="CC75" s="491"/>
      <c r="CD75" s="491"/>
      <c r="CE75" s="491"/>
      <c r="CF75" s="491"/>
      <c r="CG75" s="491"/>
      <c r="CH75" s="491"/>
      <c r="CI75" s="491"/>
      <c r="CJ75" s="491"/>
      <c r="CK75" s="491"/>
      <c r="CL75" s="491"/>
      <c r="CM75" s="491"/>
      <c r="CN75" s="491"/>
      <c r="CO75" s="491"/>
      <c r="CP75" s="491"/>
      <c r="CQ75" s="491"/>
      <c r="CR75" s="491"/>
      <c r="CS75" s="491"/>
      <c r="CT75" s="491"/>
      <c r="CU75" s="491"/>
      <c r="CV75" s="491"/>
      <c r="CW75" s="491"/>
      <c r="CX75" s="491"/>
      <c r="CY75" s="493"/>
    </row>
    <row r="76" spans="1:103" ht="16.5" customHeight="1" thickBot="1" x14ac:dyDescent="0.4">
      <c r="A76" s="537" t="s">
        <v>564</v>
      </c>
      <c r="B76" s="535"/>
      <c r="C76" s="536"/>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1"/>
      <c r="AN76" s="491"/>
      <c r="AO76" s="492"/>
      <c r="AP76" s="491"/>
      <c r="AQ76" s="491"/>
      <c r="AR76" s="491"/>
      <c r="AS76" s="491"/>
      <c r="AT76" s="491"/>
      <c r="AU76" s="491"/>
      <c r="AV76" s="491"/>
      <c r="AW76" s="491"/>
      <c r="AX76" s="491"/>
      <c r="AY76" s="491"/>
      <c r="AZ76" s="491"/>
      <c r="BA76" s="491"/>
      <c r="BB76" s="491"/>
      <c r="BC76" s="491"/>
      <c r="BD76" s="491"/>
      <c r="BE76" s="491"/>
      <c r="BF76" s="491"/>
      <c r="BG76" s="491"/>
      <c r="BH76" s="491"/>
      <c r="BI76" s="491"/>
      <c r="BJ76" s="491"/>
      <c r="BK76" s="492"/>
      <c r="BL76" s="491"/>
      <c r="BM76" s="491"/>
      <c r="BN76" s="491"/>
      <c r="BO76" s="491"/>
      <c r="BP76" s="491"/>
      <c r="BQ76" s="491"/>
      <c r="BR76" s="491"/>
      <c r="BS76" s="491"/>
      <c r="BT76" s="491"/>
      <c r="BU76" s="491"/>
      <c r="BV76" s="491"/>
      <c r="BW76" s="491"/>
      <c r="BX76" s="491"/>
      <c r="BY76" s="491"/>
      <c r="BZ76" s="491"/>
      <c r="CA76" s="492"/>
      <c r="CB76" s="491"/>
      <c r="CC76" s="491"/>
      <c r="CD76" s="491"/>
      <c r="CE76" s="491"/>
      <c r="CF76" s="491"/>
      <c r="CG76" s="491"/>
      <c r="CH76" s="491"/>
      <c r="CI76" s="491"/>
      <c r="CJ76" s="491"/>
      <c r="CK76" s="491"/>
      <c r="CL76" s="491"/>
      <c r="CM76" s="491"/>
      <c r="CN76" s="491"/>
      <c r="CO76" s="491"/>
      <c r="CP76" s="491"/>
      <c r="CQ76" s="491"/>
      <c r="CR76" s="491"/>
      <c r="CS76" s="491"/>
      <c r="CT76" s="491"/>
      <c r="CU76" s="491"/>
      <c r="CV76" s="491"/>
      <c r="CW76" s="491"/>
      <c r="CX76" s="491"/>
      <c r="CY76" s="493"/>
    </row>
    <row r="77" spans="1:103" ht="15" customHeight="1" thickBot="1" x14ac:dyDescent="0.4">
      <c r="A77" s="563" t="s">
        <v>565</v>
      </c>
      <c r="B77" s="564"/>
      <c r="C77" s="565"/>
      <c r="D77" s="566">
        <v>1</v>
      </c>
      <c r="E77" s="566">
        <v>0.96618357487922713</v>
      </c>
      <c r="F77" s="566">
        <v>0.93351070036640305</v>
      </c>
      <c r="G77" s="566">
        <v>0.90194270566802237</v>
      </c>
      <c r="H77" s="566">
        <v>0.87144222769857238</v>
      </c>
      <c r="I77" s="566">
        <v>0.84197316685852408</v>
      </c>
      <c r="J77" s="566">
        <v>0.81350064430775282</v>
      </c>
      <c r="K77" s="566">
        <v>0.78599096068381924</v>
      </c>
      <c r="L77" s="566">
        <v>0.75941155621625056</v>
      </c>
      <c r="M77" s="566">
        <v>0.73373097218961414</v>
      </c>
      <c r="N77" s="566">
        <v>0.70891881370977217</v>
      </c>
      <c r="O77" s="566">
        <v>0.68494571372924851</v>
      </c>
      <c r="P77" s="566">
        <v>0.66178329828912907</v>
      </c>
      <c r="Q77" s="566">
        <v>0.63940415293635666</v>
      </c>
      <c r="R77" s="566">
        <v>0.61778179027667313</v>
      </c>
      <c r="S77" s="566">
        <v>0.59689061862480497</v>
      </c>
      <c r="T77" s="566">
        <v>0.57670591171478747</v>
      </c>
      <c r="U77" s="566">
        <v>0.55720377943457733</v>
      </c>
      <c r="V77" s="566">
        <v>0.53836113955031628</v>
      </c>
      <c r="W77" s="566">
        <v>0.520155690386779</v>
      </c>
      <c r="X77" s="566">
        <v>0.50256588443167061</v>
      </c>
      <c r="Y77" s="566">
        <v>0.48557090283253201</v>
      </c>
      <c r="Z77" s="566">
        <v>0.46915063075606961</v>
      </c>
      <c r="AA77" s="566">
        <v>0.45328563358074364</v>
      </c>
      <c r="AB77" s="566">
        <v>0.43795713389443836</v>
      </c>
      <c r="AC77" s="566">
        <v>0.42314698926998878</v>
      </c>
      <c r="AD77" s="566">
        <v>0.40883767079225974</v>
      </c>
      <c r="AE77" s="566">
        <v>0.39501224231136212</v>
      </c>
      <c r="AF77" s="566">
        <v>0.38165434039745133</v>
      </c>
      <c r="AG77" s="566">
        <v>0.36874815497338298</v>
      </c>
      <c r="AH77" s="566">
        <v>0.35627841060230242</v>
      </c>
      <c r="AI77" s="566">
        <v>0.34590136951679845</v>
      </c>
      <c r="AJ77" s="566">
        <v>0.33582657234640628</v>
      </c>
      <c r="AK77" s="566">
        <v>0.32604521587029733</v>
      </c>
      <c r="AL77" s="566">
        <v>0.31654875327213333</v>
      </c>
      <c r="AM77" s="566">
        <v>0.30732888667197411</v>
      </c>
      <c r="AN77" s="566">
        <v>0.29837755987570302</v>
      </c>
      <c r="AO77" s="567">
        <v>0.28968695133563399</v>
      </c>
      <c r="AP77" s="566">
        <v>0.28124946731614953</v>
      </c>
      <c r="AQ77" s="566">
        <v>0.2730577352583976</v>
      </c>
      <c r="AR77" s="566">
        <v>0.26510459733825009</v>
      </c>
      <c r="AS77" s="566">
        <v>0.25738310421189331</v>
      </c>
      <c r="AT77" s="566">
        <v>0.24988650894358574</v>
      </c>
      <c r="AU77" s="566">
        <v>0.24260826111027742</v>
      </c>
      <c r="AV77" s="566">
        <v>0.23554200107793924</v>
      </c>
      <c r="AW77" s="566">
        <v>0.2286815544446012</v>
      </c>
      <c r="AX77" s="566">
        <v>0.22202092664524387</v>
      </c>
      <c r="AY77" s="566">
        <v>0.215554297713829</v>
      </c>
      <c r="AZ77" s="566">
        <v>0.20927601719789224</v>
      </c>
      <c r="BA77" s="566">
        <v>0.20318059922125459</v>
      </c>
      <c r="BB77" s="566">
        <v>0.19726271769053844</v>
      </c>
      <c r="BC77" s="566">
        <v>0.19151720164129946</v>
      </c>
      <c r="BD77" s="566">
        <v>0.18593903071970821</v>
      </c>
      <c r="BE77" s="566">
        <v>0.18052333079583321</v>
      </c>
      <c r="BF77" s="566">
        <v>0.17526536970469245</v>
      </c>
      <c r="BG77" s="566">
        <v>0.17016055311135189</v>
      </c>
      <c r="BH77" s="566">
        <v>0.16520442049645814</v>
      </c>
      <c r="BI77" s="566">
        <v>0.16039264125869723</v>
      </c>
      <c r="BJ77" s="566">
        <v>0.15572101093077401</v>
      </c>
      <c r="BK77" s="567">
        <v>0.15118544750560584</v>
      </c>
      <c r="BL77" s="566">
        <v>0.14678198786952024</v>
      </c>
      <c r="BM77" s="566">
        <v>0.14250678433934003</v>
      </c>
      <c r="BN77" s="566">
        <v>0.13835610130033013</v>
      </c>
      <c r="BO77" s="566">
        <v>0.13432631194206809</v>
      </c>
      <c r="BP77" s="566">
        <v>0.1304138950893865</v>
      </c>
      <c r="BQ77" s="566">
        <v>0.12661543212561796</v>
      </c>
      <c r="BR77" s="566">
        <v>0.12292760400545433</v>
      </c>
      <c r="BS77" s="566">
        <v>0.11934718835481002</v>
      </c>
      <c r="BT77" s="566">
        <v>0.11587105665515536</v>
      </c>
      <c r="BU77" s="566">
        <v>0.11249617150985958</v>
      </c>
      <c r="BV77" s="566">
        <v>0.10921958399015493</v>
      </c>
      <c r="BW77" s="566">
        <v>0.10603843105840284</v>
      </c>
      <c r="BX77" s="566">
        <v>0.10294993306641052</v>
      </c>
      <c r="BY77" s="566">
        <v>9.9951391326612155E-2</v>
      </c>
      <c r="BZ77" s="566">
        <v>9.7040185753992383E-2</v>
      </c>
      <c r="CA77" s="567">
        <v>9.4213772576691626E-2</v>
      </c>
      <c r="CB77" s="566">
        <v>9.1915875684577208E-2</v>
      </c>
      <c r="CC77" s="566">
        <v>8.9674025058124107E-2</v>
      </c>
      <c r="CD77" s="566">
        <v>8.7486853715243035E-2</v>
      </c>
      <c r="CE77" s="566">
        <v>8.5353028014871254E-2</v>
      </c>
      <c r="CF77" s="566">
        <v>8.3271246843776847E-2</v>
      </c>
      <c r="CG77" s="566">
        <v>8.1240240823196933E-2</v>
      </c>
      <c r="CH77" s="566">
        <v>7.9258771534826286E-2</v>
      </c>
      <c r="CI77" s="566">
        <v>7.7325630765684189E-2</v>
      </c>
      <c r="CJ77" s="566">
        <v>7.5439639771399211E-2</v>
      </c>
      <c r="CK77" s="566">
        <v>7.3599648557462649E-2</v>
      </c>
      <c r="CL77" s="566">
        <v>7.1804535178012344E-2</v>
      </c>
      <c r="CM77" s="566">
        <v>7.0053205051719372E-2</v>
      </c>
      <c r="CN77" s="566">
        <v>6.8344590294360366E-2</v>
      </c>
      <c r="CO77" s="566">
        <v>6.6677649067668654E-2</v>
      </c>
      <c r="CP77" s="566">
        <v>6.5051364944066992E-2</v>
      </c>
      <c r="CQ77" s="566">
        <v>6.3464746286894635E-2</v>
      </c>
      <c r="CR77" s="566">
        <v>6.1916825645750871E-2</v>
      </c>
      <c r="CS77" s="566">
        <v>6.0406659166586218E-2</v>
      </c>
      <c r="CT77" s="566">
        <v>5.8933326016181682E-2</v>
      </c>
      <c r="CU77" s="566">
        <v>5.7495927820665059E-2</v>
      </c>
      <c r="CV77" s="566">
        <v>5.6093588117722012E-2</v>
      </c>
      <c r="CW77" s="566">
        <v>5.4725451822167821E-2</v>
      </c>
      <c r="CX77" s="566">
        <v>5.3390684704553978E-2</v>
      </c>
      <c r="CY77" s="568">
        <v>5.2088472882491688E-2</v>
      </c>
    </row>
    <row r="78" spans="1:103" ht="15" customHeight="1" thickBot="1" x14ac:dyDescent="0.4">
      <c r="A78" s="563" t="s">
        <v>566</v>
      </c>
      <c r="B78" s="564"/>
      <c r="C78" s="565"/>
      <c r="D78" s="569">
        <f>IF('Data entry'!$H$5="3.5% Declining",VLOOKUP(Cashflow!D$4,'Lookup Tables'!$A$60:$D$160,4,FALSE),'Data entry'!$H$5)</f>
        <v>3.5000000000000003E-2</v>
      </c>
      <c r="E78" s="569">
        <f>IF('Data entry'!$H$5="3.5% Declining",VLOOKUP(Cashflow!E$4,'Lookup Tables'!$A$60:$D$160,4,FALSE),'Data entry'!$H$5)</f>
        <v>3.5000000000000003E-2</v>
      </c>
      <c r="F78" s="569">
        <f>IF('Data entry'!$H$5="3.5% Declining",VLOOKUP(Cashflow!F$4,'Lookup Tables'!$A$60:$D$160,4,FALSE),'Data entry'!$H$5)</f>
        <v>3.5000000000000003E-2</v>
      </c>
      <c r="G78" s="569">
        <f>IF('Data entry'!$H$5="3.5% Declining",VLOOKUP(Cashflow!G$4,'Lookup Tables'!$A$60:$D$160,4,FALSE),'Data entry'!$H$5)</f>
        <v>3.5000000000000003E-2</v>
      </c>
      <c r="H78" s="569">
        <f>IF('Data entry'!$H$5="3.5% Declining",VLOOKUP(Cashflow!H$4,'Lookup Tables'!$A$60:$D$160,4,FALSE),'Data entry'!$H$5)</f>
        <v>3.5000000000000003E-2</v>
      </c>
      <c r="I78" s="569">
        <f>IF('Data entry'!$H$5="3.5% Declining",VLOOKUP(Cashflow!I$4,'Lookup Tables'!$A$60:$D$160,4,FALSE),'Data entry'!$H$5)</f>
        <v>3.5000000000000003E-2</v>
      </c>
      <c r="J78" s="569">
        <f>IF('Data entry'!$H$5="3.5% Declining",VLOOKUP(Cashflow!J$4,'Lookup Tables'!$A$60:$D$160,4,FALSE),'Data entry'!$H$5)</f>
        <v>3.5000000000000003E-2</v>
      </c>
      <c r="K78" s="569">
        <f>IF('Data entry'!$H$5="3.5% Declining",VLOOKUP(Cashflow!K$4,'Lookup Tables'!$A$60:$D$160,4,FALSE),'Data entry'!$H$5)</f>
        <v>3.5000000000000003E-2</v>
      </c>
      <c r="L78" s="569">
        <f>IF('Data entry'!$H$5="3.5% Declining",VLOOKUP(Cashflow!L$4,'Lookup Tables'!$A$60:$D$160,4,FALSE),'Data entry'!$H$5)</f>
        <v>3.5000000000000003E-2</v>
      </c>
      <c r="M78" s="569">
        <f>IF('Data entry'!$H$5="3.5% Declining",VLOOKUP(Cashflow!M$4,'Lookup Tables'!$A$60:$D$160,4,FALSE),'Data entry'!$H$5)</f>
        <v>3.5000000000000003E-2</v>
      </c>
      <c r="N78" s="569">
        <f>IF('Data entry'!$H$5="3.5% Declining",VLOOKUP(Cashflow!N$4,'Lookup Tables'!$A$60:$D$160,4,FALSE),'Data entry'!$H$5)</f>
        <v>3.5000000000000003E-2</v>
      </c>
      <c r="O78" s="569">
        <f>IF('Data entry'!$H$5="3.5% Declining",VLOOKUP(Cashflow!O$4,'Lookup Tables'!$A$60:$D$160,4,FALSE),'Data entry'!$H$5)</f>
        <v>3.5000000000000003E-2</v>
      </c>
      <c r="P78" s="569">
        <f>IF('Data entry'!$H$5="3.5% Declining",VLOOKUP(Cashflow!P$4,'Lookup Tables'!$A$60:$D$160,4,FALSE),'Data entry'!$H$5)</f>
        <v>3.5000000000000003E-2</v>
      </c>
      <c r="Q78" s="569">
        <f>IF('Data entry'!$H$5="3.5% Declining",VLOOKUP(Cashflow!Q$4,'Lookup Tables'!$A$60:$D$160,4,FALSE),'Data entry'!$H$5)</f>
        <v>3.5000000000000003E-2</v>
      </c>
      <c r="R78" s="569">
        <f>IF('Data entry'!$H$5="3.5% Declining",VLOOKUP(Cashflow!R$4,'Lookup Tables'!$A$60:$D$160,4,FALSE),'Data entry'!$H$5)</f>
        <v>3.5000000000000003E-2</v>
      </c>
      <c r="S78" s="569">
        <f>IF('Data entry'!$H$5="3.5% Declining",VLOOKUP(Cashflow!S$4,'Lookup Tables'!$A$60:$D$160,4,FALSE),'Data entry'!$H$5)</f>
        <v>3.5000000000000003E-2</v>
      </c>
      <c r="T78" s="569">
        <f>IF('Data entry'!$H$5="3.5% Declining",VLOOKUP(Cashflow!T$4,'Lookup Tables'!$A$60:$D$160,4,FALSE),'Data entry'!$H$5)</f>
        <v>3.5000000000000003E-2</v>
      </c>
      <c r="U78" s="569">
        <f>IF('Data entry'!$H$5="3.5% Declining",VLOOKUP(Cashflow!U$4,'Lookup Tables'!$A$60:$D$160,4,FALSE),'Data entry'!$H$5)</f>
        <v>3.5000000000000003E-2</v>
      </c>
      <c r="V78" s="569">
        <f>IF('Data entry'!$H$5="3.5% Declining",VLOOKUP(Cashflow!V$4,'Lookup Tables'!$A$60:$D$160,4,FALSE),'Data entry'!$H$5)</f>
        <v>3.5000000000000003E-2</v>
      </c>
      <c r="W78" s="569">
        <f>IF('Data entry'!$H$5="3.5% Declining",VLOOKUP(Cashflow!W$4,'Lookup Tables'!$A$60:$D$160,4,FALSE),'Data entry'!$H$5)</f>
        <v>3.5000000000000003E-2</v>
      </c>
      <c r="X78" s="569">
        <f>IF('Data entry'!$H$5="3.5% Declining",VLOOKUP(Cashflow!X$4,'Lookup Tables'!$A$60:$D$160,4,FALSE),'Data entry'!$H$5)</f>
        <v>3.5000000000000003E-2</v>
      </c>
      <c r="Y78" s="569">
        <f>IF('Data entry'!$H$5="3.5% Declining",VLOOKUP(Cashflow!Y$4,'Lookup Tables'!$A$60:$D$160,4,FALSE),'Data entry'!$H$5)</f>
        <v>3.5000000000000003E-2</v>
      </c>
      <c r="Z78" s="569">
        <f>IF('Data entry'!$H$5="3.5% Declining",VLOOKUP(Cashflow!Z$4,'Lookup Tables'!$A$60:$D$160,4,FALSE),'Data entry'!$H$5)</f>
        <v>3.5000000000000003E-2</v>
      </c>
      <c r="AA78" s="569">
        <f>IF('Data entry'!$H$5="3.5% Declining",VLOOKUP(Cashflow!AA$4,'Lookup Tables'!$A$60:$D$160,4,FALSE),'Data entry'!$H$5)</f>
        <v>3.5000000000000003E-2</v>
      </c>
      <c r="AB78" s="569">
        <f>IF('Data entry'!$H$5="3.5% Declining",VLOOKUP(Cashflow!AB$4,'Lookup Tables'!$A$60:$D$160,4,FALSE),'Data entry'!$H$5)</f>
        <v>3.5000000000000003E-2</v>
      </c>
      <c r="AC78" s="569">
        <f>IF('Data entry'!$H$5="3.5% Declining",VLOOKUP(Cashflow!AC$4,'Lookup Tables'!$A$60:$D$160,4,FALSE),'Data entry'!$H$5)</f>
        <v>3.5000000000000003E-2</v>
      </c>
      <c r="AD78" s="569">
        <f>IF('Data entry'!$H$5="3.5% Declining",VLOOKUP(Cashflow!AD$4,'Lookup Tables'!$A$60:$D$160,4,FALSE),'Data entry'!$H$5)</f>
        <v>3.5000000000000003E-2</v>
      </c>
      <c r="AE78" s="569">
        <f>IF('Data entry'!$H$5="3.5% Declining",VLOOKUP(Cashflow!AE$4,'Lookup Tables'!$A$60:$D$160,4,FALSE),'Data entry'!$H$5)</f>
        <v>3.5000000000000003E-2</v>
      </c>
      <c r="AF78" s="569">
        <f>IF('Data entry'!$H$5="3.5% Declining",VLOOKUP(Cashflow!AF$4,'Lookup Tables'!$A$60:$D$160,4,FALSE),'Data entry'!$H$5)</f>
        <v>3.5000000000000003E-2</v>
      </c>
      <c r="AG78" s="569">
        <f>IF('Data entry'!$H$5="3.5% Declining",VLOOKUP(Cashflow!AG$4,'Lookup Tables'!$A$60:$D$160,4,FALSE),'Data entry'!$H$5)</f>
        <v>3.5000000000000003E-2</v>
      </c>
      <c r="AH78" s="569">
        <f>IF('Data entry'!$H$5="3.5% Declining",VLOOKUP(Cashflow!AH$4,'Lookup Tables'!$A$60:$D$160,4,FALSE),'Data entry'!$H$5)</f>
        <v>3.5000000000000003E-2</v>
      </c>
      <c r="AI78" s="569">
        <f>IF('Data entry'!$H$5="3.5% Declining",VLOOKUP(Cashflow!AI$4,'Lookup Tables'!$A$60:$D$160,4,FALSE),'Data entry'!$H$5)</f>
        <v>0.03</v>
      </c>
      <c r="AJ78" s="569">
        <f>IF('Data entry'!$H$5="3.5% Declining",VLOOKUP(Cashflow!AJ$4,'Lookup Tables'!$A$60:$D$160,4,FALSE),'Data entry'!$H$5)</f>
        <v>0.03</v>
      </c>
      <c r="AK78" s="569">
        <f>IF('Data entry'!$H$5="3.5% Declining",VLOOKUP(Cashflow!AK$4,'Lookup Tables'!$A$60:$D$160,4,FALSE),'Data entry'!$H$5)</f>
        <v>0.03</v>
      </c>
      <c r="AL78" s="569">
        <f>IF('Data entry'!$H$5="3.5% Declining",VLOOKUP(Cashflow!AL$4,'Lookup Tables'!$A$60:$D$160,4,FALSE),'Data entry'!$H$5)</f>
        <v>0.03</v>
      </c>
      <c r="AM78" s="569">
        <f>IF('Data entry'!$H$5="3.5% Declining",VLOOKUP(Cashflow!AM$4,'Lookup Tables'!$A$60:$D$160,4,FALSE),'Data entry'!$H$5)</f>
        <v>0.03</v>
      </c>
      <c r="AN78" s="569">
        <f>IF('Data entry'!$H$5="3.5% Declining",VLOOKUP(Cashflow!AN$4,'Lookup Tables'!$A$60:$D$160,4,FALSE),'Data entry'!$H$5)</f>
        <v>0.03</v>
      </c>
      <c r="AO78" s="570">
        <f>IF('Data entry'!$H$5="3.5% Declining",VLOOKUP(Cashflow!AO$4,'Lookup Tables'!$A$60:$D$160,4,FALSE),'Data entry'!$H$5)</f>
        <v>0.03</v>
      </c>
      <c r="AP78" s="569">
        <f>IF('Data entry'!$H$5="3.5% Declining",VLOOKUP(Cashflow!AP$4,'Lookup Tables'!$A$60:$D$160,4,FALSE),'Data entry'!$H$5)</f>
        <v>0.03</v>
      </c>
      <c r="AQ78" s="569">
        <f>IF('Data entry'!$H$5="3.5% Declining",VLOOKUP(Cashflow!AQ$4,'Lookup Tables'!$A$60:$D$160,4,FALSE),'Data entry'!$H$5)</f>
        <v>0.03</v>
      </c>
      <c r="AR78" s="569">
        <f>IF('Data entry'!$H$5="3.5% Declining",VLOOKUP(Cashflow!AR$4,'Lookup Tables'!$A$60:$D$160,4,FALSE),'Data entry'!$H$5)</f>
        <v>0.03</v>
      </c>
      <c r="AS78" s="569">
        <f>IF('Data entry'!$H$5="3.5% Declining",VLOOKUP(Cashflow!AS$4,'Lookup Tables'!$A$60:$D$160,4,FALSE),'Data entry'!$H$5)</f>
        <v>0.03</v>
      </c>
      <c r="AT78" s="569">
        <f>IF('Data entry'!$H$5="3.5% Declining",VLOOKUP(Cashflow!AT$4,'Lookup Tables'!$A$60:$D$160,4,FALSE),'Data entry'!$H$5)</f>
        <v>0.03</v>
      </c>
      <c r="AU78" s="569">
        <f>IF('Data entry'!$H$5="3.5% Declining",VLOOKUP(Cashflow!AU$4,'Lookup Tables'!$A$60:$D$160,4,FALSE),'Data entry'!$H$5)</f>
        <v>0.03</v>
      </c>
      <c r="AV78" s="569">
        <f>IF('Data entry'!$H$5="3.5% Declining",VLOOKUP(Cashflow!AV$4,'Lookup Tables'!$A$60:$D$160,4,FALSE),'Data entry'!$H$5)</f>
        <v>0.03</v>
      </c>
      <c r="AW78" s="569">
        <f>IF('Data entry'!$H$5="3.5% Declining",VLOOKUP(Cashflow!AW$4,'Lookup Tables'!$A$60:$D$160,4,FALSE),'Data entry'!$H$5)</f>
        <v>0.03</v>
      </c>
      <c r="AX78" s="569">
        <f>IF('Data entry'!$H$5="3.5% Declining",VLOOKUP(Cashflow!AX$4,'Lookup Tables'!$A$60:$D$160,4,FALSE),'Data entry'!$H$5)</f>
        <v>0.03</v>
      </c>
      <c r="AY78" s="569">
        <f>IF('Data entry'!$H$5="3.5% Declining",VLOOKUP(Cashflow!AY$4,'Lookup Tables'!$A$60:$D$160,4,FALSE),'Data entry'!$H$5)</f>
        <v>0.03</v>
      </c>
      <c r="AZ78" s="569">
        <f>IF('Data entry'!$H$5="3.5% Declining",VLOOKUP(Cashflow!AZ$4,'Lookup Tables'!$A$60:$D$160,4,FALSE),'Data entry'!$H$5)</f>
        <v>0.03</v>
      </c>
      <c r="BA78" s="569">
        <f>IF('Data entry'!$H$5="3.5% Declining",VLOOKUP(Cashflow!BA$4,'Lookup Tables'!$A$60:$D$160,4,FALSE),'Data entry'!$H$5)</f>
        <v>0.03</v>
      </c>
      <c r="BB78" s="569">
        <f>IF('Data entry'!$H$5="3.5% Declining",VLOOKUP(Cashflow!BB$4,'Lookup Tables'!$A$60:$D$160,4,FALSE),'Data entry'!$H$5)</f>
        <v>0.03</v>
      </c>
      <c r="BC78" s="569">
        <f>IF('Data entry'!$H$5="3.5% Declining",VLOOKUP(Cashflow!BC$4,'Lookup Tables'!$A$60:$D$160,4,FALSE),'Data entry'!$H$5)</f>
        <v>0.03</v>
      </c>
      <c r="BD78" s="569">
        <f>IF('Data entry'!$H$5="3.5% Declining",VLOOKUP(Cashflow!BD$4,'Lookup Tables'!$A$60:$D$160,4,FALSE),'Data entry'!$H$5)</f>
        <v>0.03</v>
      </c>
      <c r="BE78" s="569">
        <f>IF('Data entry'!$H$5="3.5% Declining",VLOOKUP(Cashflow!BE$4,'Lookup Tables'!$A$60:$D$160,4,FALSE),'Data entry'!$H$5)</f>
        <v>0.03</v>
      </c>
      <c r="BF78" s="569">
        <f>IF('Data entry'!$H$5="3.5% Declining",VLOOKUP(Cashflow!BF$4,'Lookup Tables'!$A$60:$D$160,4,FALSE),'Data entry'!$H$5)</f>
        <v>0.03</v>
      </c>
      <c r="BG78" s="569">
        <f>IF('Data entry'!$H$5="3.5% Declining",VLOOKUP(Cashflow!BG$4,'Lookup Tables'!$A$60:$D$160,4,FALSE),'Data entry'!$H$5)</f>
        <v>0.03</v>
      </c>
      <c r="BH78" s="569">
        <f>IF('Data entry'!$H$5="3.5% Declining",VLOOKUP(Cashflow!BH$4,'Lookup Tables'!$A$60:$D$160,4,FALSE),'Data entry'!$H$5)</f>
        <v>0.03</v>
      </c>
      <c r="BI78" s="569">
        <f>IF('Data entry'!$H$5="3.5% Declining",VLOOKUP(Cashflow!BI$4,'Lookup Tables'!$A$60:$D$160,4,FALSE),'Data entry'!$H$5)</f>
        <v>0.03</v>
      </c>
      <c r="BJ78" s="569">
        <f>IF('Data entry'!$H$5="3.5% Declining",VLOOKUP(Cashflow!BJ$4,'Lookup Tables'!$A$60:$D$160,4,FALSE),'Data entry'!$H$5)</f>
        <v>0.03</v>
      </c>
      <c r="BK78" s="570">
        <f>IF('Data entry'!$H$5="3.5% Declining",VLOOKUP(Cashflow!BK$4,'Lookup Tables'!$A$60:$D$160,4,FALSE),'Data entry'!$H$5)</f>
        <v>0.03</v>
      </c>
      <c r="BL78" s="569">
        <f>IF('Data entry'!$H$5="3.5% Declining",VLOOKUP(Cashflow!BL$4,'Lookup Tables'!$A$60:$D$160,4,FALSE),'Data entry'!$H$5)</f>
        <v>0.03</v>
      </c>
      <c r="BM78" s="569">
        <f>IF('Data entry'!$H$5="3.5% Declining",VLOOKUP(Cashflow!BM$4,'Lookup Tables'!$A$60:$D$160,4,FALSE),'Data entry'!$H$5)</f>
        <v>0.03</v>
      </c>
      <c r="BN78" s="569">
        <f>IF('Data entry'!$H$5="3.5% Declining",VLOOKUP(Cashflow!BN$4,'Lookup Tables'!$A$60:$D$160,4,FALSE),'Data entry'!$H$5)</f>
        <v>0.03</v>
      </c>
      <c r="BO78" s="569">
        <f>IF('Data entry'!$H$5="3.5% Declining",VLOOKUP(Cashflow!BO$4,'Lookup Tables'!$A$60:$D$160,4,FALSE),'Data entry'!$H$5)</f>
        <v>0.03</v>
      </c>
      <c r="BP78" s="569">
        <f>IF('Data entry'!$H$5="3.5% Declining",VLOOKUP(Cashflow!BP$4,'Lookup Tables'!$A$60:$D$160,4,FALSE),'Data entry'!$H$5)</f>
        <v>0.03</v>
      </c>
      <c r="BQ78" s="569">
        <f>IF('Data entry'!$H$5="3.5% Declining",VLOOKUP(Cashflow!BQ$4,'Lookup Tables'!$A$60:$D$160,4,FALSE),'Data entry'!$H$5)</f>
        <v>0.03</v>
      </c>
      <c r="BR78" s="569">
        <f>IF('Data entry'!$H$5="3.5% Declining",VLOOKUP(Cashflow!BR$4,'Lookup Tables'!$A$60:$D$160,4,FALSE),'Data entry'!$H$5)</f>
        <v>0.03</v>
      </c>
      <c r="BS78" s="569">
        <f>IF('Data entry'!$H$5="3.5% Declining",VLOOKUP(Cashflow!BS$4,'Lookup Tables'!$A$60:$D$160,4,FALSE),'Data entry'!$H$5)</f>
        <v>0.03</v>
      </c>
      <c r="BT78" s="569">
        <f>IF('Data entry'!$H$5="3.5% Declining",VLOOKUP(Cashflow!BT$4,'Lookup Tables'!$A$60:$D$160,4,FALSE),'Data entry'!$H$5)</f>
        <v>0.03</v>
      </c>
      <c r="BU78" s="569">
        <f>IF('Data entry'!$H$5="3.5% Declining",VLOOKUP(Cashflow!BU$4,'Lookup Tables'!$A$60:$D$160,4,FALSE),'Data entry'!$H$5)</f>
        <v>0.03</v>
      </c>
      <c r="BV78" s="569">
        <f>IF('Data entry'!$H$5="3.5% Declining",VLOOKUP(Cashflow!BV$4,'Lookup Tables'!$A$60:$D$160,4,FALSE),'Data entry'!$H$5)</f>
        <v>0.03</v>
      </c>
      <c r="BW78" s="569">
        <f>IF('Data entry'!$H$5="3.5% Declining",VLOOKUP(Cashflow!BW$4,'Lookup Tables'!$A$60:$D$160,4,FALSE),'Data entry'!$H$5)</f>
        <v>0.03</v>
      </c>
      <c r="BX78" s="569">
        <f>IF('Data entry'!$H$5="3.5% Declining",VLOOKUP(Cashflow!BX$4,'Lookup Tables'!$A$60:$D$160,4,FALSE),'Data entry'!$H$5)</f>
        <v>0.03</v>
      </c>
      <c r="BY78" s="569">
        <f>IF('Data entry'!$H$5="3.5% Declining",VLOOKUP(Cashflow!BY$4,'Lookup Tables'!$A$60:$D$160,4,FALSE),'Data entry'!$H$5)</f>
        <v>0.03</v>
      </c>
      <c r="BZ78" s="569">
        <f>IF('Data entry'!$H$5="3.5% Declining",VLOOKUP(Cashflow!BZ$4,'Lookup Tables'!$A$60:$D$160,4,FALSE),'Data entry'!$H$5)</f>
        <v>0.03</v>
      </c>
      <c r="CA78" s="570">
        <f>IF('Data entry'!$H$5="3.5% Declining",VLOOKUP(Cashflow!CA$4,'Lookup Tables'!$A$60:$D$160,4,FALSE),'Data entry'!$H$5)</f>
        <v>0.03</v>
      </c>
      <c r="CB78" s="569">
        <f>IF('Data entry'!$H$5="3.5% Declining",VLOOKUP(Cashflow!CB$4,'Lookup Tables'!$A$60:$D$160,4,FALSE),'Data entry'!$H$5)</f>
        <v>2.5000000000000001E-2</v>
      </c>
      <c r="CC78" s="569">
        <f>IF('Data entry'!$H$5="3.5% Declining",VLOOKUP(Cashflow!CC$4,'Lookup Tables'!$A$60:$D$160,4,FALSE),'Data entry'!$H$5)</f>
        <v>2.5000000000000001E-2</v>
      </c>
      <c r="CD78" s="569">
        <f>IF('Data entry'!$H$5="3.5% Declining",VLOOKUP(Cashflow!CD$4,'Lookup Tables'!$A$60:$D$160,4,FALSE),'Data entry'!$H$5)</f>
        <v>2.5000000000000001E-2</v>
      </c>
      <c r="CE78" s="569">
        <f>IF('Data entry'!$H$5="3.5% Declining",VLOOKUP(Cashflow!CE$4,'Lookup Tables'!$A$60:$D$160,4,FALSE),'Data entry'!$H$5)</f>
        <v>2.5000000000000001E-2</v>
      </c>
      <c r="CF78" s="569">
        <f>IF('Data entry'!$H$5="3.5% Declining",VLOOKUP(Cashflow!CF$4,'Lookup Tables'!$A$60:$D$160,4,FALSE),'Data entry'!$H$5)</f>
        <v>2.5000000000000001E-2</v>
      </c>
      <c r="CG78" s="569">
        <f>IF('Data entry'!$H$5="3.5% Declining",VLOOKUP(Cashflow!CG$4,'Lookup Tables'!$A$60:$D$160,4,FALSE),'Data entry'!$H$5)</f>
        <v>2.5000000000000001E-2</v>
      </c>
      <c r="CH78" s="569">
        <f>IF('Data entry'!$H$5="3.5% Declining",VLOOKUP(Cashflow!CH$4,'Lookup Tables'!$A$60:$D$160,4,FALSE),'Data entry'!$H$5)</f>
        <v>2.5000000000000001E-2</v>
      </c>
      <c r="CI78" s="569">
        <f>IF('Data entry'!$H$5="3.5% Declining",VLOOKUP(Cashflow!CI$4,'Lookup Tables'!$A$60:$D$160,4,FALSE),'Data entry'!$H$5)</f>
        <v>2.5000000000000001E-2</v>
      </c>
      <c r="CJ78" s="569">
        <f>IF('Data entry'!$H$5="3.5% Declining",VLOOKUP(Cashflow!CJ$4,'Lookup Tables'!$A$60:$D$160,4,FALSE),'Data entry'!$H$5)</f>
        <v>2.5000000000000001E-2</v>
      </c>
      <c r="CK78" s="569">
        <f>IF('Data entry'!$H$5="3.5% Declining",VLOOKUP(Cashflow!CK$4,'Lookup Tables'!$A$60:$D$160,4,FALSE),'Data entry'!$H$5)</f>
        <v>2.5000000000000001E-2</v>
      </c>
      <c r="CL78" s="569">
        <f>IF('Data entry'!$H$5="3.5% Declining",VLOOKUP(Cashflow!CL$4,'Lookup Tables'!$A$60:$D$160,4,FALSE),'Data entry'!$H$5)</f>
        <v>2.5000000000000001E-2</v>
      </c>
      <c r="CM78" s="569">
        <f>IF('Data entry'!$H$5="3.5% Declining",VLOOKUP(Cashflow!CM$4,'Lookup Tables'!$A$60:$D$160,4,FALSE),'Data entry'!$H$5)</f>
        <v>2.5000000000000001E-2</v>
      </c>
      <c r="CN78" s="569">
        <f>IF('Data entry'!$H$5="3.5% Declining",VLOOKUP(Cashflow!CN$4,'Lookup Tables'!$A$60:$D$160,4,FALSE),'Data entry'!$H$5)</f>
        <v>2.5000000000000001E-2</v>
      </c>
      <c r="CO78" s="569">
        <f>IF('Data entry'!$H$5="3.5% Declining",VLOOKUP(Cashflow!CO$4,'Lookup Tables'!$A$60:$D$160,4,FALSE),'Data entry'!$H$5)</f>
        <v>2.5000000000000001E-2</v>
      </c>
      <c r="CP78" s="569">
        <f>IF('Data entry'!$H$5="3.5% Declining",VLOOKUP(Cashflow!CP$4,'Lookup Tables'!$A$60:$D$160,4,FALSE),'Data entry'!$H$5)</f>
        <v>2.5000000000000001E-2</v>
      </c>
      <c r="CQ78" s="569">
        <f>IF('Data entry'!$H$5="3.5% Declining",VLOOKUP(Cashflow!CQ$4,'Lookup Tables'!$A$60:$D$160,4,FALSE),'Data entry'!$H$5)</f>
        <v>2.5000000000000001E-2</v>
      </c>
      <c r="CR78" s="569">
        <f>IF('Data entry'!$H$5="3.5% Declining",VLOOKUP(Cashflow!CR$4,'Lookup Tables'!$A$60:$D$160,4,FALSE),'Data entry'!$H$5)</f>
        <v>2.5000000000000001E-2</v>
      </c>
      <c r="CS78" s="569">
        <f>IF('Data entry'!$H$5="3.5% Declining",VLOOKUP(Cashflow!CS$4,'Lookup Tables'!$A$60:$D$160,4,FALSE),'Data entry'!$H$5)</f>
        <v>2.5000000000000001E-2</v>
      </c>
      <c r="CT78" s="569">
        <f>IF('Data entry'!$H$5="3.5% Declining",VLOOKUP(Cashflow!CT$4,'Lookup Tables'!$A$60:$D$160,4,FALSE),'Data entry'!$H$5)</f>
        <v>2.5000000000000001E-2</v>
      </c>
      <c r="CU78" s="569">
        <f>IF('Data entry'!$H$5="3.5% Declining",VLOOKUP(Cashflow!CU$4,'Lookup Tables'!$A$60:$D$160,4,FALSE),'Data entry'!$H$5)</f>
        <v>2.5000000000000001E-2</v>
      </c>
      <c r="CV78" s="569">
        <f>IF('Data entry'!$H$5="3.5% Declining",VLOOKUP(Cashflow!CV$4,'Lookup Tables'!$A$60:$D$160,4,FALSE),'Data entry'!$H$5)</f>
        <v>2.5000000000000001E-2</v>
      </c>
      <c r="CW78" s="569">
        <f>IF('Data entry'!$H$5="3.5% Declining",VLOOKUP(Cashflow!CW$4,'Lookup Tables'!$A$60:$D$160,4,FALSE),'Data entry'!$H$5)</f>
        <v>2.5000000000000001E-2</v>
      </c>
      <c r="CX78" s="569">
        <f>IF('Data entry'!$H$5="3.5% Declining",VLOOKUP(Cashflow!CX$4,'Lookup Tables'!$A$60:$D$160,4,FALSE),'Data entry'!$H$5)</f>
        <v>2.5000000000000001E-2</v>
      </c>
      <c r="CY78" s="571">
        <f>IF('Data entry'!$H$5="3.5% Declining",VLOOKUP(Cashflow!CY$4,'Lookup Tables'!$A$60:$D$160,4,FALSE),'Data entry'!$H$5)</f>
        <v>2.5000000000000001E-2</v>
      </c>
    </row>
    <row r="79" spans="1:103" ht="15" customHeight="1" thickBot="1" x14ac:dyDescent="0.4">
      <c r="A79" s="534"/>
      <c r="B79" s="535"/>
      <c r="C79" s="536"/>
      <c r="D79" s="491"/>
      <c r="E79" s="491"/>
      <c r="F79" s="491"/>
      <c r="G79" s="491"/>
      <c r="H79" s="491"/>
      <c r="I79" s="491"/>
      <c r="J79" s="491"/>
      <c r="K79" s="491"/>
      <c r="L79" s="491"/>
      <c r="M79" s="491"/>
      <c r="N79" s="491"/>
      <c r="O79" s="491"/>
      <c r="P79" s="491"/>
      <c r="Q79" s="491"/>
      <c r="R79" s="491"/>
      <c r="S79" s="491"/>
      <c r="T79" s="491"/>
      <c r="U79" s="491"/>
      <c r="V79" s="491"/>
      <c r="W79" s="491"/>
      <c r="X79" s="491"/>
      <c r="Y79" s="491"/>
      <c r="Z79" s="491"/>
      <c r="AA79" s="491"/>
      <c r="AB79" s="491"/>
      <c r="AC79" s="491"/>
      <c r="AD79" s="491"/>
      <c r="AE79" s="491"/>
      <c r="AF79" s="491"/>
      <c r="AG79" s="491"/>
      <c r="AH79" s="491"/>
      <c r="AI79" s="491"/>
      <c r="AJ79" s="491"/>
      <c r="AK79" s="491"/>
      <c r="AL79" s="491"/>
      <c r="AM79" s="491"/>
      <c r="AN79" s="491"/>
      <c r="AO79" s="492"/>
      <c r="AP79" s="491"/>
      <c r="AQ79" s="491"/>
      <c r="AR79" s="491"/>
      <c r="AS79" s="491"/>
      <c r="AT79" s="491"/>
      <c r="AU79" s="491"/>
      <c r="AV79" s="491"/>
      <c r="AW79" s="491"/>
      <c r="AX79" s="491"/>
      <c r="AY79" s="491"/>
      <c r="AZ79" s="491"/>
      <c r="BA79" s="491"/>
      <c r="BB79" s="491"/>
      <c r="BC79" s="491"/>
      <c r="BD79" s="491"/>
      <c r="BE79" s="491"/>
      <c r="BF79" s="491"/>
      <c r="BG79" s="491"/>
      <c r="BH79" s="491"/>
      <c r="BI79" s="491"/>
      <c r="BJ79" s="491"/>
      <c r="BK79" s="492"/>
      <c r="BL79" s="491"/>
      <c r="BM79" s="491"/>
      <c r="BN79" s="491"/>
      <c r="BO79" s="491"/>
      <c r="BP79" s="491"/>
      <c r="BQ79" s="491"/>
      <c r="BR79" s="491"/>
      <c r="BS79" s="491"/>
      <c r="BT79" s="491"/>
      <c r="BU79" s="491"/>
      <c r="BV79" s="491"/>
      <c r="BW79" s="491"/>
      <c r="BX79" s="491"/>
      <c r="BY79" s="491"/>
      <c r="BZ79" s="491"/>
      <c r="CA79" s="492"/>
      <c r="CB79" s="491"/>
      <c r="CC79" s="491"/>
      <c r="CD79" s="491"/>
      <c r="CE79" s="491"/>
      <c r="CF79" s="491"/>
      <c r="CG79" s="491"/>
      <c r="CH79" s="491"/>
      <c r="CI79" s="491"/>
      <c r="CJ79" s="491"/>
      <c r="CK79" s="491"/>
      <c r="CL79" s="491"/>
      <c r="CM79" s="491"/>
      <c r="CN79" s="491"/>
      <c r="CO79" s="491"/>
      <c r="CP79" s="491"/>
      <c r="CQ79" s="491"/>
      <c r="CR79" s="491"/>
      <c r="CS79" s="491"/>
      <c r="CT79" s="491"/>
      <c r="CU79" s="491"/>
      <c r="CV79" s="491"/>
      <c r="CW79" s="491"/>
      <c r="CX79" s="491"/>
      <c r="CY79" s="493"/>
    </row>
    <row r="80" spans="1:103" ht="15" customHeight="1" x14ac:dyDescent="0.35">
      <c r="A80" s="572" t="s">
        <v>567</v>
      </c>
      <c r="B80" s="573"/>
      <c r="C80" s="574" t="e">
        <f ca="1">SUM(D80:CY80)</f>
        <v>#REF!</v>
      </c>
      <c r="D80" s="575" t="e">
        <f ca="1">IF('Data entry'!$H$5="3.5% Declining",D67*D77,D67/((1+D78)^D4))</f>
        <v>#REF!</v>
      </c>
      <c r="E80" s="575">
        <f ca="1">IF('Data entry'!$H$5="3.5% Declining",E67*E77,E67/((1+E78)^E4))</f>
        <v>0</v>
      </c>
      <c r="F80" s="575">
        <f ca="1">IF('Data entry'!$H$5="3.5% Declining",F67*F77,F67/((1+F78)^F4))</f>
        <v>0</v>
      </c>
      <c r="G80" s="575">
        <f ca="1">IF('Data entry'!$H$5="3.5% Declining",G67*G77,G67/((1+G78)^G4))</f>
        <v>0</v>
      </c>
      <c r="H80" s="575">
        <f ca="1">IF('Data entry'!$H$5="3.5% Declining",H67*H77,H67/((1+H78)^H4))</f>
        <v>0</v>
      </c>
      <c r="I80" s="575">
        <f ca="1">IF('Data entry'!$H$5="3.5% Declining",I67*I77,I67/((1+I78)^I4))</f>
        <v>0</v>
      </c>
      <c r="J80" s="575">
        <f ca="1">IF('Data entry'!$H$5="3.5% Declining",J67*J77,J67/((1+J78)^J4))</f>
        <v>0</v>
      </c>
      <c r="K80" s="575">
        <f ca="1">IF('Data entry'!$H$5="3.5% Declining",K67*K77,K67/((1+K78)^K4))</f>
        <v>0</v>
      </c>
      <c r="L80" s="575">
        <f ca="1">IF('Data entry'!$H$5="3.5% Declining",L67*L77,L67/((1+L78)^L4))</f>
        <v>0</v>
      </c>
      <c r="M80" s="575">
        <f ca="1">IF('Data entry'!$H$5="3.5% Declining",M67*M77,M67/((1+M78)^M4))</f>
        <v>0</v>
      </c>
      <c r="N80" s="575">
        <f ca="1">IF('Data entry'!$H$5="3.5% Declining",N67*N77,N67/((1+N78)^N4))</f>
        <v>0</v>
      </c>
      <c r="O80" s="575">
        <f ca="1">IF('Data entry'!$H$5="3.5% Declining",O67*O77,O67/((1+O78)^O4))</f>
        <v>0</v>
      </c>
      <c r="P80" s="575">
        <f ca="1">IF('Data entry'!$H$5="3.5% Declining",P67*P77,P67/((1+P78)^P4))</f>
        <v>0</v>
      </c>
      <c r="Q80" s="575">
        <f ca="1">IF('Data entry'!$H$5="3.5% Declining",Q67*Q77,Q67/((1+Q78)^Q4))</f>
        <v>0</v>
      </c>
      <c r="R80" s="575">
        <f ca="1">IF('Data entry'!$H$5="3.5% Declining",R67*R77,R67/((1+R78)^R4))</f>
        <v>0</v>
      </c>
      <c r="S80" s="575">
        <f ca="1">IF('Data entry'!$H$5="3.5% Declining",S67*S77,S67/((1+S78)^S4))</f>
        <v>0</v>
      </c>
      <c r="T80" s="575">
        <f ca="1">IF('Data entry'!$H$5="3.5% Declining",T67*T77,T67/((1+T78)^T4))</f>
        <v>0</v>
      </c>
      <c r="U80" s="575">
        <f ca="1">IF('Data entry'!$H$5="3.5% Declining",U67*U77,U67/((1+U78)^U4))</f>
        <v>0</v>
      </c>
      <c r="V80" s="575">
        <f ca="1">IF('Data entry'!$H$5="3.5% Declining",V67*V77,V67/((1+V78)^V4))</f>
        <v>0</v>
      </c>
      <c r="W80" s="575">
        <f ca="1">IF('Data entry'!$H$5="3.5% Declining",W67*W77,W67/((1+W78)^W4))</f>
        <v>0</v>
      </c>
      <c r="X80" s="575">
        <f ca="1">IF('Data entry'!$H$5="3.5% Declining",X67*X77,X67/((1+X78)^X4))</f>
        <v>0</v>
      </c>
      <c r="Y80" s="575">
        <f ca="1">IF('Data entry'!$H$5="3.5% Declining",Y67*Y77,Y67/((1+Y78)^Y4))</f>
        <v>0</v>
      </c>
      <c r="Z80" s="575">
        <f ca="1">IF('Data entry'!$H$5="3.5% Declining",Z67*Z77,Z67/((1+Z78)^Z4))</f>
        <v>0</v>
      </c>
      <c r="AA80" s="575">
        <f ca="1">IF('Data entry'!$H$5="3.5% Declining",AA67*AA77,AA67/((1+AA78)^AA4))</f>
        <v>0</v>
      </c>
      <c r="AB80" s="575">
        <f ca="1">IF('Data entry'!$H$5="3.5% Declining",AB67*AB77,AB67/((1+AB78)^AB4))</f>
        <v>0</v>
      </c>
      <c r="AC80" s="575">
        <f ca="1">IF('Data entry'!$H$5="3.5% Declining",AC67*AC77,AC67/((1+AC78)^AC4))</f>
        <v>0</v>
      </c>
      <c r="AD80" s="575">
        <f ca="1">IF('Data entry'!$H$5="3.5% Declining",AD67*AD77,AD67/((1+AD78)^AD4))</f>
        <v>0</v>
      </c>
      <c r="AE80" s="575">
        <f ca="1">IF('Data entry'!$H$5="3.5% Declining",AE67*AE77,AE67/((1+AE78)^AE4))</f>
        <v>0</v>
      </c>
      <c r="AF80" s="575">
        <f ca="1">IF('Data entry'!$H$5="3.5% Declining",AF67*AF77,AF67/((1+AF78)^AF4))</f>
        <v>0</v>
      </c>
      <c r="AG80" s="575">
        <f ca="1">IF('Data entry'!$H$5="3.5% Declining",AG67*AG77,AG67/((1+AG78)^AG4))</f>
        <v>0</v>
      </c>
      <c r="AH80" s="575">
        <f ca="1">IF('Data entry'!$H$5="3.5% Declining",AH67*AH77,AH67/((1+AH78)^AH4))</f>
        <v>0</v>
      </c>
      <c r="AI80" s="575">
        <f ca="1">IF('Data entry'!$H$5="3.5% Declining",AI67*AI77,AI67/((1+AI78)^AI4))</f>
        <v>0</v>
      </c>
      <c r="AJ80" s="575">
        <f ca="1">IF('Data entry'!$H$5="3.5% Declining",AJ67*AJ77,AJ67/((1+AJ78)^AJ4))</f>
        <v>0</v>
      </c>
      <c r="AK80" s="575">
        <f ca="1">IF('Data entry'!$H$5="3.5% Declining",AK67*AK77,AK67/((1+AK78)^AK4))</f>
        <v>0</v>
      </c>
      <c r="AL80" s="575">
        <f ca="1">IF('Data entry'!$H$5="3.5% Declining",AL67*AL77,AL67/((1+AL78)^AL4))</f>
        <v>0</v>
      </c>
      <c r="AM80" s="575">
        <f ca="1">IF('Data entry'!$H$5="3.5% Declining",AM67*AM77,AM67/((1+AM78)^AM4))</f>
        <v>0</v>
      </c>
      <c r="AN80" s="575">
        <f ca="1">IF('Data entry'!$H$5="3.5% Declining",AN67*AN77,AN67/((1+AN78)^AN4))</f>
        <v>0</v>
      </c>
      <c r="AO80" s="576">
        <f ca="1">IF('Data entry'!$H$5="3.5% Declining",AO67*AO77,AO67/((1+AO78)^AO4))</f>
        <v>0</v>
      </c>
      <c r="AP80" s="575">
        <f ca="1">IF('Data entry'!$H$5="3.5% Declining",AP67*AP77,AP67/((1+AP78)^AP4))</f>
        <v>0</v>
      </c>
      <c r="AQ80" s="575">
        <f ca="1">IF('Data entry'!$H$5="3.5% Declining",AQ67*AQ77,AQ67/((1+AQ78)^AQ4))</f>
        <v>0</v>
      </c>
      <c r="AR80" s="575">
        <f ca="1">IF('Data entry'!$H$5="3.5% Declining",AR67*AR77,AR67/((1+AR78)^AR4))</f>
        <v>0</v>
      </c>
      <c r="AS80" s="575">
        <f ca="1">IF('Data entry'!$H$5="3.5% Declining",AS67*AS77,AS67/((1+AS78)^AS4))</f>
        <v>0</v>
      </c>
      <c r="AT80" s="575">
        <f ca="1">IF('Data entry'!$H$5="3.5% Declining",AT67*AT77,AT67/((1+AT78)^AT4))</f>
        <v>0</v>
      </c>
      <c r="AU80" s="575">
        <f ca="1">IF('Data entry'!$H$5="3.5% Declining",AU67*AU77,AU67/((1+AU78)^AU4))</f>
        <v>0</v>
      </c>
      <c r="AV80" s="575">
        <f ca="1">IF('Data entry'!$H$5="3.5% Declining",AV67*AV77,AV67/((1+AV78)^AV4))</f>
        <v>0</v>
      </c>
      <c r="AW80" s="575">
        <f ca="1">IF('Data entry'!$H$5="3.5% Declining",AW67*AW77,AW67/((1+AW78)^AW4))</f>
        <v>0</v>
      </c>
      <c r="AX80" s="575">
        <f ca="1">IF('Data entry'!$H$5="3.5% Declining",AX67*AX77,AX67/((1+AX78)^AX4))</f>
        <v>0</v>
      </c>
      <c r="AY80" s="575">
        <f ca="1">IF('Data entry'!$H$5="3.5% Declining",AY67*AY77,AY67/((1+AY78)^AY4))</f>
        <v>0</v>
      </c>
      <c r="AZ80" s="575">
        <f ca="1">IF('Data entry'!$H$5="3.5% Declining",AZ67*AZ77,AZ67/((1+AZ78)^AZ4))</f>
        <v>0</v>
      </c>
      <c r="BA80" s="575">
        <f ca="1">IF('Data entry'!$H$5="3.5% Declining",BA67*BA77,BA67/((1+BA78)^BA4))</f>
        <v>0</v>
      </c>
      <c r="BB80" s="575">
        <f ca="1">IF('Data entry'!$H$5="3.5% Declining",BB67*BB77,BB67/((1+BB78)^BB4))</f>
        <v>0</v>
      </c>
      <c r="BC80" s="575">
        <f ca="1">IF('Data entry'!$H$5="3.5% Declining",BC67*BC77,BC67/((1+BC78)^BC4))</f>
        <v>0</v>
      </c>
      <c r="BD80" s="575">
        <f ca="1">IF('Data entry'!$H$5="3.5% Declining",BD67*BD77,BD67/((1+BD78)^BD4))</f>
        <v>0</v>
      </c>
      <c r="BE80" s="575">
        <f ca="1">IF('Data entry'!$H$5="3.5% Declining",BE67*BE77,BE67/((1+BE78)^BE4))</f>
        <v>0</v>
      </c>
      <c r="BF80" s="575">
        <f ca="1">IF('Data entry'!$H$5="3.5% Declining",BF67*BF77,BF67/((1+BF78)^BF4))</f>
        <v>0</v>
      </c>
      <c r="BG80" s="575">
        <f ca="1">IF('Data entry'!$H$5="3.5% Declining",BG67*BG77,BG67/((1+BG78)^BG4))</f>
        <v>0</v>
      </c>
      <c r="BH80" s="575">
        <f ca="1">IF('Data entry'!$H$5="3.5% Declining",BH67*BH77,BH67/((1+BH78)^BH4))</f>
        <v>0</v>
      </c>
      <c r="BI80" s="575">
        <f ca="1">IF('Data entry'!$H$5="3.5% Declining",BI67*BI77,BI67/((1+BI78)^BI4))</f>
        <v>0</v>
      </c>
      <c r="BJ80" s="575">
        <f ca="1">IF('Data entry'!$H$5="3.5% Declining",BJ67*BJ77,BJ67/((1+BJ78)^BJ4))</f>
        <v>0</v>
      </c>
      <c r="BK80" s="576">
        <f ca="1">IF('Data entry'!$H$5="3.5% Declining",BK67*BK77,BK67/((1+BK78)^BK4))</f>
        <v>0</v>
      </c>
      <c r="BL80" s="575">
        <f ca="1">IF('Data entry'!$H$5="3.5% Declining",BL67*BL77,BL67/((1+BL78)^BL4))</f>
        <v>0</v>
      </c>
      <c r="BM80" s="575">
        <f ca="1">IF('Data entry'!$H$5="3.5% Declining",BM67*BM77,BM67/((1+BM78)^BM4))</f>
        <v>0</v>
      </c>
      <c r="BN80" s="575">
        <f ca="1">IF('Data entry'!$H$5="3.5% Declining",BN67*BN77,BN67/((1+BN78)^BN4))</f>
        <v>0</v>
      </c>
      <c r="BO80" s="575">
        <f ca="1">IF('Data entry'!$H$5="3.5% Declining",BO67*BO77,BO67/((1+BO78)^BO4))</f>
        <v>0</v>
      </c>
      <c r="BP80" s="575">
        <f ca="1">IF('Data entry'!$H$5="3.5% Declining",BP67*BP77,BP67/((1+BP78)^BP4))</f>
        <v>0</v>
      </c>
      <c r="BQ80" s="575">
        <f ca="1">IF('Data entry'!$H$5="3.5% Declining",BQ67*BQ77,BQ67/((1+BQ78)^BQ4))</f>
        <v>0</v>
      </c>
      <c r="BR80" s="575">
        <f ca="1">IF('Data entry'!$H$5="3.5% Declining",BR67*BR77,BR67/((1+BR78)^BR4))</f>
        <v>0</v>
      </c>
      <c r="BS80" s="575">
        <f ca="1">IF('Data entry'!$H$5="3.5% Declining",BS67*BS77,BS67/((1+BS78)^BS4))</f>
        <v>0</v>
      </c>
      <c r="BT80" s="575">
        <f ca="1">IF('Data entry'!$H$5="3.5% Declining",BT67*BT77,BT67/((1+BT78)^BT4))</f>
        <v>0</v>
      </c>
      <c r="BU80" s="575">
        <f ca="1">IF('Data entry'!$H$5="3.5% Declining",BU67*BU77,BU67/((1+BU78)^BU4))</f>
        <v>0</v>
      </c>
      <c r="BV80" s="575">
        <f ca="1">IF('Data entry'!$H$5="3.5% Declining",BV67*BV77,BV67/((1+BV78)^BV4))</f>
        <v>0</v>
      </c>
      <c r="BW80" s="575">
        <f ca="1">IF('Data entry'!$H$5="3.5% Declining",BW67*BW77,BW67/((1+BW78)^BW4))</f>
        <v>0</v>
      </c>
      <c r="BX80" s="575">
        <f ca="1">IF('Data entry'!$H$5="3.5% Declining",BX67*BX77,BX67/((1+BX78)^BX4))</f>
        <v>0</v>
      </c>
      <c r="BY80" s="575">
        <f ca="1">IF('Data entry'!$H$5="3.5% Declining",BY67*BY77,BY67/((1+BY78)^BY4))</f>
        <v>0</v>
      </c>
      <c r="BZ80" s="575">
        <f ca="1">IF('Data entry'!$H$5="3.5% Declining",BZ67*BZ77,BZ67/((1+BZ78)^BZ4))</f>
        <v>0</v>
      </c>
      <c r="CA80" s="576">
        <f ca="1">IF('Data entry'!$H$5="3.5% Declining",CA67*CA77,CA67/((1+CA78)^CA4))</f>
        <v>0</v>
      </c>
      <c r="CB80" s="575">
        <f ca="1">IF('Data entry'!$H$5="3.5% Declining",CB67*CB77,CB67/((1+CB78)^CB4))</f>
        <v>0</v>
      </c>
      <c r="CC80" s="575">
        <f ca="1">IF('Data entry'!$H$5="3.5% Declining",CC67*CC77,CC67/((1+CC78)^CC4))</f>
        <v>0</v>
      </c>
      <c r="CD80" s="575">
        <f ca="1">IF('Data entry'!$H$5="3.5% Declining",CD67*CD77,CD67/((1+CD78)^CD4))</f>
        <v>0</v>
      </c>
      <c r="CE80" s="575">
        <f ca="1">IF('Data entry'!$H$5="3.5% Declining",CE67*CE77,CE67/((1+CE78)^CE4))</f>
        <v>0</v>
      </c>
      <c r="CF80" s="575">
        <f ca="1">IF('Data entry'!$H$5="3.5% Declining",CF67*CF77,CF67/((1+CF78)^CF4))</f>
        <v>0</v>
      </c>
      <c r="CG80" s="575">
        <f ca="1">IF('Data entry'!$H$5="3.5% Declining",CG67*CG77,CG67/((1+CG78)^CG4))</f>
        <v>0</v>
      </c>
      <c r="CH80" s="575">
        <f ca="1">IF('Data entry'!$H$5="3.5% Declining",CH67*CH77,CH67/((1+CH78)^CH4))</f>
        <v>0</v>
      </c>
      <c r="CI80" s="575">
        <f ca="1">IF('Data entry'!$H$5="3.5% Declining",CI67*CI77,CI67/((1+CI78)^CI4))</f>
        <v>0</v>
      </c>
      <c r="CJ80" s="575">
        <f ca="1">IF('Data entry'!$H$5="3.5% Declining",CJ67*CJ77,CJ67/((1+CJ78)^CJ4))</f>
        <v>0</v>
      </c>
      <c r="CK80" s="575">
        <f ca="1">IF('Data entry'!$H$5="3.5% Declining",CK67*CK77,CK67/((1+CK78)^CK4))</f>
        <v>0</v>
      </c>
      <c r="CL80" s="575">
        <f ca="1">IF('Data entry'!$H$5="3.5% Declining",CL67*CL77,CL67/((1+CL78)^CL4))</f>
        <v>0</v>
      </c>
      <c r="CM80" s="575">
        <f ca="1">IF('Data entry'!$H$5="3.5% Declining",CM67*CM77,CM67/((1+CM78)^CM4))</f>
        <v>0</v>
      </c>
      <c r="CN80" s="575">
        <f ca="1">IF('Data entry'!$H$5="3.5% Declining",CN67*CN77,CN67/((1+CN78)^CN4))</f>
        <v>0</v>
      </c>
      <c r="CO80" s="575">
        <f ca="1">IF('Data entry'!$H$5="3.5% Declining",CO67*CO77,CO67/((1+CO78)^CO4))</f>
        <v>0</v>
      </c>
      <c r="CP80" s="575">
        <f ca="1">IF('Data entry'!$H$5="3.5% Declining",CP67*CP77,CP67/((1+CP78)^CP4))</f>
        <v>0</v>
      </c>
      <c r="CQ80" s="575">
        <f ca="1">IF('Data entry'!$H$5="3.5% Declining",CQ67*CQ77,CQ67/((1+CQ78)^CQ4))</f>
        <v>0</v>
      </c>
      <c r="CR80" s="575">
        <f ca="1">IF('Data entry'!$H$5="3.5% Declining",CR67*CR77,CR67/((1+CR78)^CR4))</f>
        <v>0</v>
      </c>
      <c r="CS80" s="575">
        <f ca="1">IF('Data entry'!$H$5="3.5% Declining",CS67*CS77,CS67/((1+CS78)^CS4))</f>
        <v>0</v>
      </c>
      <c r="CT80" s="575">
        <f ca="1">IF('Data entry'!$H$5="3.5% Declining",CT67*CT77,CT67/((1+CT78)^CT4))</f>
        <v>0</v>
      </c>
      <c r="CU80" s="575">
        <f ca="1">IF('Data entry'!$H$5="3.5% Declining",CU67*CU77,CU67/((1+CU78)^CU4))</f>
        <v>0</v>
      </c>
      <c r="CV80" s="575">
        <f ca="1">IF('Data entry'!$H$5="3.5% Declining",CV67*CV77,CV67/((1+CV78)^CV4))</f>
        <v>0</v>
      </c>
      <c r="CW80" s="575">
        <f ca="1">IF('Data entry'!$H$5="3.5% Declining",CW67*CW77,CW67/((1+CW78)^CW4))</f>
        <v>0</v>
      </c>
      <c r="CX80" s="575">
        <f ca="1">IF('Data entry'!$H$5="3.5% Declining",CX67*CX77,CX67/((1+CX78)^CX4))</f>
        <v>0</v>
      </c>
      <c r="CY80" s="577">
        <f ca="1">IF('Data entry'!$H$5="3.5% Declining",CY67*CY77,CY67/((1+CY78)^CY4))</f>
        <v>0</v>
      </c>
    </row>
    <row r="81" spans="1:103" ht="15" customHeight="1" thickBot="1" x14ac:dyDescent="0.4">
      <c r="A81" s="578" t="s">
        <v>568</v>
      </c>
      <c r="B81" s="579"/>
      <c r="C81" s="580" t="e">
        <f ca="1">SUM(D81:CY81)</f>
        <v>#REF!</v>
      </c>
      <c r="D81" s="581" t="e">
        <f ca="1">IF('Data entry'!$H$5="3.5% Declining",D68*D77,D68/((1+D78)^D4))</f>
        <v>#REF!</v>
      </c>
      <c r="E81" s="581">
        <f ca="1">IF('Data entry'!$H$5="3.5% Declining",E68*E77,E68/((1+E78)^E4))</f>
        <v>0</v>
      </c>
      <c r="F81" s="581">
        <f ca="1">IF('Data entry'!$H$5="3.5% Declining",F68*F77,F68/((1+F78)^F4))</f>
        <v>0</v>
      </c>
      <c r="G81" s="581">
        <f ca="1">IF('Data entry'!$H$5="3.5% Declining",G68*G77,G68/((1+G78)^G4))</f>
        <v>0</v>
      </c>
      <c r="H81" s="581">
        <f ca="1">IF('Data entry'!$H$5="3.5% Declining",H68*H77,H68/((1+H78)^H4))</f>
        <v>0</v>
      </c>
      <c r="I81" s="581">
        <f ca="1">IF('Data entry'!$H$5="3.5% Declining",I68*I77,I68/((1+I78)^I4))</f>
        <v>0</v>
      </c>
      <c r="J81" s="581">
        <f ca="1">IF('Data entry'!$H$5="3.5% Declining",J68*J77,J68/((1+J78)^J4))</f>
        <v>0</v>
      </c>
      <c r="K81" s="581">
        <f ca="1">IF('Data entry'!$H$5="3.5% Declining",K68*K77,K68/((1+K78)^K4))</f>
        <v>0</v>
      </c>
      <c r="L81" s="581">
        <f ca="1">IF('Data entry'!$H$5="3.5% Declining",L68*L77,L68/((1+L78)^L4))</f>
        <v>0</v>
      </c>
      <c r="M81" s="581">
        <f ca="1">IF('Data entry'!$H$5="3.5% Declining",M68*M77,M68/((1+M78)^M4))</f>
        <v>0</v>
      </c>
      <c r="N81" s="581">
        <f ca="1">IF('Data entry'!$H$5="3.5% Declining",N68*N77,N68/((1+N78)^N4))</f>
        <v>0</v>
      </c>
      <c r="O81" s="581">
        <f ca="1">IF('Data entry'!$H$5="3.5% Declining",O68*O77,O68/((1+O78)^O4))</f>
        <v>0</v>
      </c>
      <c r="P81" s="581">
        <f ca="1">IF('Data entry'!$H$5="3.5% Declining",P68*P77,P68/((1+P78)^P4))</f>
        <v>0</v>
      </c>
      <c r="Q81" s="581">
        <f ca="1">IF('Data entry'!$H$5="3.5% Declining",Q68*Q77,Q68/((1+Q78)^Q4))</f>
        <v>0</v>
      </c>
      <c r="R81" s="581">
        <f ca="1">IF('Data entry'!$H$5="3.5% Declining",R68*R77,R68/((1+R78)^R4))</f>
        <v>0</v>
      </c>
      <c r="S81" s="581">
        <f ca="1">IF('Data entry'!$H$5="3.5% Declining",S68*S77,S68/((1+S78)^S4))</f>
        <v>0</v>
      </c>
      <c r="T81" s="581">
        <f ca="1">IF('Data entry'!$H$5="3.5% Declining",T68*T77,T68/((1+T78)^T4))</f>
        <v>0</v>
      </c>
      <c r="U81" s="581">
        <f ca="1">IF('Data entry'!$H$5="3.5% Declining",U68*U77,U68/((1+U78)^U4))</f>
        <v>0</v>
      </c>
      <c r="V81" s="581">
        <f ca="1">IF('Data entry'!$H$5="3.5% Declining",V68*V77,V68/((1+V78)^V4))</f>
        <v>0</v>
      </c>
      <c r="W81" s="581">
        <f ca="1">IF('Data entry'!$H$5="3.5% Declining",W68*W77,W68/((1+W78)^W4))</f>
        <v>0</v>
      </c>
      <c r="X81" s="581">
        <f ca="1">IF('Data entry'!$H$5="3.5% Declining",X68*X77,X68/((1+X78)^X4))</f>
        <v>0</v>
      </c>
      <c r="Y81" s="581">
        <f ca="1">IF('Data entry'!$H$5="3.5% Declining",Y68*Y77,Y68/((1+Y78)^Y4))</f>
        <v>0</v>
      </c>
      <c r="Z81" s="581">
        <f ca="1">IF('Data entry'!$H$5="3.5% Declining",Z68*Z77,Z68/((1+Z78)^Z4))</f>
        <v>0</v>
      </c>
      <c r="AA81" s="581">
        <f ca="1">IF('Data entry'!$H$5="3.5% Declining",AA68*AA77,AA68/((1+AA78)^AA4))</f>
        <v>0</v>
      </c>
      <c r="AB81" s="581">
        <f ca="1">IF('Data entry'!$H$5="3.5% Declining",AB68*AB77,AB68/((1+AB78)^AB4))</f>
        <v>0</v>
      </c>
      <c r="AC81" s="581">
        <f ca="1">IF('Data entry'!$H$5="3.5% Declining",AC68*AC77,AC68/((1+AC78)^AC4))</f>
        <v>0</v>
      </c>
      <c r="AD81" s="581">
        <f ca="1">IF('Data entry'!$H$5="3.5% Declining",AD68*AD77,AD68/((1+AD78)^AD4))</f>
        <v>0</v>
      </c>
      <c r="AE81" s="581">
        <f ca="1">IF('Data entry'!$H$5="3.5% Declining",AE68*AE77,AE68/((1+AE78)^AE4))</f>
        <v>0</v>
      </c>
      <c r="AF81" s="581">
        <f ca="1">IF('Data entry'!$H$5="3.5% Declining",AF68*AF77,AF68/((1+AF78)^AF4))</f>
        <v>0</v>
      </c>
      <c r="AG81" s="581">
        <f ca="1">IF('Data entry'!$H$5="3.5% Declining",AG68*AG77,AG68/((1+AG78)^AG4))</f>
        <v>0</v>
      </c>
      <c r="AH81" s="581">
        <f ca="1">IF('Data entry'!$H$5="3.5% Declining",AH68*AH77,AH68/((1+AH78)^AH4))</f>
        <v>0</v>
      </c>
      <c r="AI81" s="581">
        <f ca="1">IF('Data entry'!$H$5="3.5% Declining",AI68*AI77,AI68/((1+AI78)^AI4))</f>
        <v>0</v>
      </c>
      <c r="AJ81" s="581">
        <f ca="1">IF('Data entry'!$H$5="3.5% Declining",AJ68*AJ77,AJ68/((1+AJ78)^AJ4))</f>
        <v>0</v>
      </c>
      <c r="AK81" s="581">
        <f ca="1">IF('Data entry'!$H$5="3.5% Declining",AK68*AK77,AK68/((1+AK78)^AK4))</f>
        <v>0</v>
      </c>
      <c r="AL81" s="581">
        <f ca="1">IF('Data entry'!$H$5="3.5% Declining",AL68*AL77,AL68/((1+AL78)^AL4))</f>
        <v>0</v>
      </c>
      <c r="AM81" s="581">
        <f ca="1">IF('Data entry'!$H$5="3.5% Declining",AM68*AM77,AM68/((1+AM78)^AM4))</f>
        <v>0</v>
      </c>
      <c r="AN81" s="581">
        <f ca="1">IF('Data entry'!$H$5="3.5% Declining",AN68*AN77,AN68/((1+AN78)^AN4))</f>
        <v>0</v>
      </c>
      <c r="AO81" s="582">
        <f ca="1">IF('Data entry'!$H$5="3.5% Declining",AO68*AO77,AO68/((1+AO78)^AO4))</f>
        <v>0</v>
      </c>
      <c r="AP81" s="581">
        <f ca="1">IF('Data entry'!$H$5="3.5% Declining",AP68*AP77,AP68/((1+AP78)^AP4))</f>
        <v>0</v>
      </c>
      <c r="AQ81" s="581">
        <f ca="1">IF('Data entry'!$H$5="3.5% Declining",AQ68*AQ77,AQ68/((1+AQ78)^AQ4))</f>
        <v>0</v>
      </c>
      <c r="AR81" s="581">
        <f ca="1">IF('Data entry'!$H$5="3.5% Declining",AR68*AR77,AR68/((1+AR78)^AR4))</f>
        <v>0</v>
      </c>
      <c r="AS81" s="581">
        <f ca="1">IF('Data entry'!$H$5="3.5% Declining",AS68*AS77,AS68/((1+AS78)^AS4))</f>
        <v>0</v>
      </c>
      <c r="AT81" s="581">
        <f ca="1">IF('Data entry'!$H$5="3.5% Declining",AT68*AT77,AT68/((1+AT78)^AT4))</f>
        <v>0</v>
      </c>
      <c r="AU81" s="581">
        <f ca="1">IF('Data entry'!$H$5="3.5% Declining",AU68*AU77,AU68/((1+AU78)^AU4))</f>
        <v>0</v>
      </c>
      <c r="AV81" s="581">
        <f ca="1">IF('Data entry'!$H$5="3.5% Declining",AV68*AV77,AV68/((1+AV78)^AV4))</f>
        <v>0</v>
      </c>
      <c r="AW81" s="581">
        <f ca="1">IF('Data entry'!$H$5="3.5% Declining",AW68*AW77,AW68/((1+AW78)^AW4))</f>
        <v>0</v>
      </c>
      <c r="AX81" s="581">
        <f ca="1">IF('Data entry'!$H$5="3.5% Declining",AX68*AX77,AX68/((1+AX78)^AX4))</f>
        <v>0</v>
      </c>
      <c r="AY81" s="581">
        <f ca="1">IF('Data entry'!$H$5="3.5% Declining",AY68*AY77,AY68/((1+AY78)^AY4))</f>
        <v>0</v>
      </c>
      <c r="AZ81" s="581">
        <f ca="1">IF('Data entry'!$H$5="3.5% Declining",AZ68*AZ77,AZ68/((1+AZ78)^AZ4))</f>
        <v>0</v>
      </c>
      <c r="BA81" s="581">
        <f ca="1">IF('Data entry'!$H$5="3.5% Declining",BA68*BA77,BA68/((1+BA78)^BA4))</f>
        <v>0</v>
      </c>
      <c r="BB81" s="581">
        <f ca="1">IF('Data entry'!$H$5="3.5% Declining",BB68*BB77,BB68/((1+BB78)^BB4))</f>
        <v>0</v>
      </c>
      <c r="BC81" s="581">
        <f ca="1">IF('Data entry'!$H$5="3.5% Declining",BC68*BC77,BC68/((1+BC78)^BC4))</f>
        <v>0</v>
      </c>
      <c r="BD81" s="581">
        <f ca="1">IF('Data entry'!$H$5="3.5% Declining",BD68*BD77,BD68/((1+BD78)^BD4))</f>
        <v>0</v>
      </c>
      <c r="BE81" s="581">
        <f ca="1">IF('Data entry'!$H$5="3.5% Declining",BE68*BE77,BE68/((1+BE78)^BE4))</f>
        <v>0</v>
      </c>
      <c r="BF81" s="581">
        <f ca="1">IF('Data entry'!$H$5="3.5% Declining",BF68*BF77,BF68/((1+BF78)^BF4))</f>
        <v>0</v>
      </c>
      <c r="BG81" s="581">
        <f ca="1">IF('Data entry'!$H$5="3.5% Declining",BG68*BG77,BG68/((1+BG78)^BG4))</f>
        <v>0</v>
      </c>
      <c r="BH81" s="581">
        <f ca="1">IF('Data entry'!$H$5="3.5% Declining",BH68*BH77,BH68/((1+BH78)^BH4))</f>
        <v>0</v>
      </c>
      <c r="BI81" s="581">
        <f ca="1">IF('Data entry'!$H$5="3.5% Declining",BI68*BI77,BI68/((1+BI78)^BI4))</f>
        <v>0</v>
      </c>
      <c r="BJ81" s="581">
        <f ca="1">IF('Data entry'!$H$5="3.5% Declining",BJ68*BJ77,BJ68/((1+BJ78)^BJ4))</f>
        <v>0</v>
      </c>
      <c r="BK81" s="582">
        <f ca="1">IF('Data entry'!$H$5="3.5% Declining",BK68*BK77,BK68/((1+BK78)^BK4))</f>
        <v>0</v>
      </c>
      <c r="BL81" s="581">
        <f ca="1">IF('Data entry'!$H$5="3.5% Declining",BL68*BL77,BL68/((1+BL78)^BL4))</f>
        <v>0</v>
      </c>
      <c r="BM81" s="581">
        <f ca="1">IF('Data entry'!$H$5="3.5% Declining",BM68*BM77,BM68/((1+BM78)^BM4))</f>
        <v>0</v>
      </c>
      <c r="BN81" s="581">
        <f ca="1">IF('Data entry'!$H$5="3.5% Declining",BN68*BN77,BN68/((1+BN78)^BN4))</f>
        <v>0</v>
      </c>
      <c r="BO81" s="581">
        <f ca="1">IF('Data entry'!$H$5="3.5% Declining",BO68*BO77,BO68/((1+BO78)^BO4))</f>
        <v>0</v>
      </c>
      <c r="BP81" s="581">
        <f ca="1">IF('Data entry'!$H$5="3.5% Declining",BP68*BP77,BP68/((1+BP78)^BP4))</f>
        <v>0</v>
      </c>
      <c r="BQ81" s="581">
        <f ca="1">IF('Data entry'!$H$5="3.5% Declining",BQ68*BQ77,BQ68/((1+BQ78)^BQ4))</f>
        <v>0</v>
      </c>
      <c r="BR81" s="581">
        <f ca="1">IF('Data entry'!$H$5="3.5% Declining",BR68*BR77,BR68/((1+BR78)^BR4))</f>
        <v>0</v>
      </c>
      <c r="BS81" s="581">
        <f ca="1">IF('Data entry'!$H$5="3.5% Declining",BS68*BS77,BS68/((1+BS78)^BS4))</f>
        <v>0</v>
      </c>
      <c r="BT81" s="581">
        <f ca="1">IF('Data entry'!$H$5="3.5% Declining",BT68*BT77,BT68/((1+BT78)^BT4))</f>
        <v>0</v>
      </c>
      <c r="BU81" s="581">
        <f ca="1">IF('Data entry'!$H$5="3.5% Declining",BU68*BU77,BU68/((1+BU78)^BU4))</f>
        <v>0</v>
      </c>
      <c r="BV81" s="581">
        <f ca="1">IF('Data entry'!$H$5="3.5% Declining",BV68*BV77,BV68/((1+BV78)^BV4))</f>
        <v>0</v>
      </c>
      <c r="BW81" s="581">
        <f ca="1">IF('Data entry'!$H$5="3.5% Declining",BW68*BW77,BW68/((1+BW78)^BW4))</f>
        <v>0</v>
      </c>
      <c r="BX81" s="581">
        <f ca="1">IF('Data entry'!$H$5="3.5% Declining",BX68*BX77,BX68/((1+BX78)^BX4))</f>
        <v>0</v>
      </c>
      <c r="BY81" s="581">
        <f ca="1">IF('Data entry'!$H$5="3.5% Declining",BY68*BY77,BY68/((1+BY78)^BY4))</f>
        <v>0</v>
      </c>
      <c r="BZ81" s="581">
        <f ca="1">IF('Data entry'!$H$5="3.5% Declining",BZ68*BZ77,BZ68/((1+BZ78)^BZ4))</f>
        <v>0</v>
      </c>
      <c r="CA81" s="582">
        <f ca="1">IF('Data entry'!$H$5="3.5% Declining",CA68*CA77,CA68/((1+CA78)^CA4))</f>
        <v>0</v>
      </c>
      <c r="CB81" s="581">
        <f ca="1">IF('Data entry'!$H$5="3.5% Declining",CB68*CB77,CB68/((1+CB78)^CB4))</f>
        <v>0</v>
      </c>
      <c r="CC81" s="581">
        <f ca="1">IF('Data entry'!$H$5="3.5% Declining",CC68*CC77,CC68/((1+CC78)^CC4))</f>
        <v>0</v>
      </c>
      <c r="CD81" s="581">
        <f ca="1">IF('Data entry'!$H$5="3.5% Declining",CD68*CD77,CD68/((1+CD78)^CD4))</f>
        <v>0</v>
      </c>
      <c r="CE81" s="581">
        <f ca="1">IF('Data entry'!$H$5="3.5% Declining",CE68*CE77,CE68/((1+CE78)^CE4))</f>
        <v>0</v>
      </c>
      <c r="CF81" s="581">
        <f ca="1">IF('Data entry'!$H$5="3.5% Declining",CF68*CF77,CF68/((1+CF78)^CF4))</f>
        <v>0</v>
      </c>
      <c r="CG81" s="581">
        <f ca="1">IF('Data entry'!$H$5="3.5% Declining",CG68*CG77,CG68/((1+CG78)^CG4))</f>
        <v>0</v>
      </c>
      <c r="CH81" s="581">
        <f ca="1">IF('Data entry'!$H$5="3.5% Declining",CH68*CH77,CH68/((1+CH78)^CH4))</f>
        <v>0</v>
      </c>
      <c r="CI81" s="581">
        <f ca="1">IF('Data entry'!$H$5="3.5% Declining",CI68*CI77,CI68/((1+CI78)^CI4))</f>
        <v>0</v>
      </c>
      <c r="CJ81" s="581">
        <f ca="1">IF('Data entry'!$H$5="3.5% Declining",CJ68*CJ77,CJ68/((1+CJ78)^CJ4))</f>
        <v>0</v>
      </c>
      <c r="CK81" s="581">
        <f ca="1">IF('Data entry'!$H$5="3.5% Declining",CK68*CK77,CK68/((1+CK78)^CK4))</f>
        <v>0</v>
      </c>
      <c r="CL81" s="581">
        <f ca="1">IF('Data entry'!$H$5="3.5% Declining",CL68*CL77,CL68/((1+CL78)^CL4))</f>
        <v>0</v>
      </c>
      <c r="CM81" s="581">
        <f ca="1">IF('Data entry'!$H$5="3.5% Declining",CM68*CM77,CM68/((1+CM78)^CM4))</f>
        <v>0</v>
      </c>
      <c r="CN81" s="581">
        <f ca="1">IF('Data entry'!$H$5="3.5% Declining",CN68*CN77,CN68/((1+CN78)^CN4))</f>
        <v>0</v>
      </c>
      <c r="CO81" s="581">
        <f ca="1">IF('Data entry'!$H$5="3.5% Declining",CO68*CO77,CO68/((1+CO78)^CO4))</f>
        <v>0</v>
      </c>
      <c r="CP81" s="581">
        <f ca="1">IF('Data entry'!$H$5="3.5% Declining",CP68*CP77,CP68/((1+CP78)^CP4))</f>
        <v>0</v>
      </c>
      <c r="CQ81" s="581">
        <f ca="1">IF('Data entry'!$H$5="3.5% Declining",CQ68*CQ77,CQ68/((1+CQ78)^CQ4))</f>
        <v>0</v>
      </c>
      <c r="CR81" s="581">
        <f ca="1">IF('Data entry'!$H$5="3.5% Declining",CR68*CR77,CR68/((1+CR78)^CR4))</f>
        <v>0</v>
      </c>
      <c r="CS81" s="581">
        <f ca="1">IF('Data entry'!$H$5="3.5% Declining",CS68*CS77,CS68/((1+CS78)^CS4))</f>
        <v>0</v>
      </c>
      <c r="CT81" s="581">
        <f ca="1">IF('Data entry'!$H$5="3.5% Declining",CT68*CT77,CT68/((1+CT78)^CT4))</f>
        <v>0</v>
      </c>
      <c r="CU81" s="581">
        <f ca="1">IF('Data entry'!$H$5="3.5% Declining",CU68*CU77,CU68/((1+CU78)^CU4))</f>
        <v>0</v>
      </c>
      <c r="CV81" s="581">
        <f ca="1">IF('Data entry'!$H$5="3.5% Declining",CV68*CV77,CV68/((1+CV78)^CV4))</f>
        <v>0</v>
      </c>
      <c r="CW81" s="581">
        <f ca="1">IF('Data entry'!$H$5="3.5% Declining",CW68*CW77,CW68/((1+CW78)^CW4))</f>
        <v>0</v>
      </c>
      <c r="CX81" s="581">
        <f ca="1">IF('Data entry'!$H$5="3.5% Declining",CX68*CX77,CX68/((1+CX78)^CX4))</f>
        <v>0</v>
      </c>
      <c r="CY81" s="583">
        <f ca="1">IF('Data entry'!$H$5="3.5% Declining",CY68*CY77,CY68/((1+CY78)^CY4))</f>
        <v>0</v>
      </c>
    </row>
    <row r="82" spans="1:103" ht="15" customHeight="1" thickBot="1" x14ac:dyDescent="0.4">
      <c r="A82" s="550"/>
      <c r="B82" s="535"/>
      <c r="C82" s="536"/>
      <c r="D82" s="491"/>
      <c r="E82" s="491"/>
      <c r="F82" s="491"/>
      <c r="G82" s="491"/>
      <c r="H82" s="491"/>
      <c r="I82" s="491"/>
      <c r="J82" s="491"/>
      <c r="K82" s="491"/>
      <c r="L82" s="491"/>
      <c r="M82" s="491"/>
      <c r="N82" s="491"/>
      <c r="O82" s="491"/>
      <c r="P82" s="491"/>
      <c r="Q82" s="491"/>
      <c r="R82" s="491"/>
      <c r="S82" s="491"/>
      <c r="T82" s="491"/>
      <c r="U82" s="491"/>
      <c r="V82" s="491"/>
      <c r="W82" s="491"/>
      <c r="X82" s="491"/>
      <c r="Y82" s="491"/>
      <c r="Z82" s="491"/>
      <c r="AA82" s="491"/>
      <c r="AB82" s="491"/>
      <c r="AC82" s="491"/>
      <c r="AD82" s="491"/>
      <c r="AE82" s="491"/>
      <c r="AF82" s="491"/>
      <c r="AG82" s="491"/>
      <c r="AH82" s="491"/>
      <c r="AI82" s="491"/>
      <c r="AJ82" s="491"/>
      <c r="AK82" s="491"/>
      <c r="AL82" s="491"/>
      <c r="AM82" s="491"/>
      <c r="AN82" s="491"/>
      <c r="AO82" s="492"/>
      <c r="AP82" s="491"/>
      <c r="AQ82" s="491"/>
      <c r="AR82" s="491"/>
      <c r="AS82" s="491"/>
      <c r="AT82" s="491"/>
      <c r="AU82" s="491"/>
      <c r="AV82" s="491"/>
      <c r="AW82" s="491"/>
      <c r="AX82" s="491"/>
      <c r="AY82" s="491"/>
      <c r="AZ82" s="491"/>
      <c r="BA82" s="491"/>
      <c r="BB82" s="491"/>
      <c r="BC82" s="491"/>
      <c r="BD82" s="491"/>
      <c r="BE82" s="491"/>
      <c r="BF82" s="491"/>
      <c r="BG82" s="491"/>
      <c r="BH82" s="491"/>
      <c r="BI82" s="491"/>
      <c r="BJ82" s="491"/>
      <c r="BK82" s="492"/>
      <c r="BL82" s="491"/>
      <c r="BM82" s="491"/>
      <c r="BN82" s="491"/>
      <c r="BO82" s="491"/>
      <c r="BP82" s="491"/>
      <c r="BQ82" s="491"/>
      <c r="BR82" s="491"/>
      <c r="BS82" s="491"/>
      <c r="BT82" s="491"/>
      <c r="BU82" s="491"/>
      <c r="BV82" s="491"/>
      <c r="BW82" s="491"/>
      <c r="BX82" s="491"/>
      <c r="BY82" s="491"/>
      <c r="BZ82" s="491"/>
      <c r="CA82" s="492"/>
      <c r="CB82" s="491"/>
      <c r="CC82" s="491"/>
      <c r="CD82" s="491"/>
      <c r="CE82" s="491"/>
      <c r="CF82" s="491"/>
      <c r="CG82" s="491"/>
      <c r="CH82" s="491"/>
      <c r="CI82" s="491"/>
      <c r="CJ82" s="491"/>
      <c r="CK82" s="491"/>
      <c r="CL82" s="491"/>
      <c r="CM82" s="491"/>
      <c r="CN82" s="491"/>
      <c r="CO82" s="491"/>
      <c r="CP82" s="491"/>
      <c r="CQ82" s="491"/>
      <c r="CR82" s="491"/>
      <c r="CS82" s="491"/>
      <c r="CT82" s="491"/>
      <c r="CU82" s="491"/>
      <c r="CV82" s="491"/>
      <c r="CW82" s="491"/>
      <c r="CX82" s="491"/>
      <c r="CY82" s="493"/>
    </row>
    <row r="83" spans="1:103" ht="15" customHeight="1" x14ac:dyDescent="0.35">
      <c r="A83" s="584" t="s">
        <v>569</v>
      </c>
      <c r="B83" s="585"/>
      <c r="C83" s="586">
        <f t="shared" ref="C83:C95" si="43">SUM(D83:CY83)</f>
        <v>0</v>
      </c>
      <c r="D83" s="587">
        <f>IF('Data entry'!$H$5="3.5% Declining",D51*D77,D51/((1+D$78)^D$4))</f>
        <v>0</v>
      </c>
      <c r="E83" s="587">
        <f>IF('Data entry'!$H$5="3.5% Declining",E51*E77,E51/((1+E$78)^E$4))</f>
        <v>0</v>
      </c>
      <c r="F83" s="587">
        <f>IF('Data entry'!$H$5="3.5% Declining",F51*F77,F51/((1+F$78)^F$4))</f>
        <v>0</v>
      </c>
      <c r="G83" s="587">
        <f>IF('Data entry'!$H$5="3.5% Declining",G51*G77,G51/((1+G$78)^G$4))</f>
        <v>0</v>
      </c>
      <c r="H83" s="587">
        <f>IF('Data entry'!$H$5="3.5% Declining",H51*H77,H51/((1+H$78)^H$4))</f>
        <v>0</v>
      </c>
      <c r="I83" s="587">
        <f>IF('Data entry'!$H$5="3.5% Declining",I51*I77,I51/((1+I$78)^I$4))</f>
        <v>0</v>
      </c>
      <c r="J83" s="587">
        <f>IF('Data entry'!$H$5="3.5% Declining",J51*J77,J51/((1+J$78)^J$4))</f>
        <v>0</v>
      </c>
      <c r="K83" s="587">
        <f>IF('Data entry'!$H$5="3.5% Declining",K51*K77,K51/((1+K$78)^K$4))</f>
        <v>0</v>
      </c>
      <c r="L83" s="587">
        <f>IF('Data entry'!$H$5="3.5% Declining",L51*L77,L51/((1+L$78)^L$4))</f>
        <v>0</v>
      </c>
      <c r="M83" s="587">
        <f>IF('Data entry'!$H$5="3.5% Declining",M51*M77,M51/((1+M$78)^M$4))</f>
        <v>0</v>
      </c>
      <c r="N83" s="587">
        <f>IF('Data entry'!$H$5="3.5% Declining",N51*N77,N51/((1+N$78)^N$4))</f>
        <v>0</v>
      </c>
      <c r="O83" s="587">
        <f>IF('Data entry'!$H$5="3.5% Declining",O51*O77,O51/((1+O$78)^O$4))</f>
        <v>0</v>
      </c>
      <c r="P83" s="587">
        <f>IF('Data entry'!$H$5="3.5% Declining",P51*P77,P51/((1+P$78)^P$4))</f>
        <v>0</v>
      </c>
      <c r="Q83" s="587">
        <f>IF('Data entry'!$H$5="3.5% Declining",Q51*Q77,Q51/((1+Q$78)^Q$4))</f>
        <v>0</v>
      </c>
      <c r="R83" s="587">
        <f>IF('Data entry'!$H$5="3.5% Declining",R51*R77,R51/((1+R$78)^R$4))</f>
        <v>0</v>
      </c>
      <c r="S83" s="587">
        <f>IF('Data entry'!$H$5="3.5% Declining",S51*S77,S51/((1+S$78)^S$4))</f>
        <v>0</v>
      </c>
      <c r="T83" s="587">
        <f>IF('Data entry'!$H$5="3.5% Declining",T51*T77,T51/((1+T$78)^T$4))</f>
        <v>0</v>
      </c>
      <c r="U83" s="587">
        <f>IF('Data entry'!$H$5="3.5% Declining",U51*U77,U51/((1+U$78)^U$4))</f>
        <v>0</v>
      </c>
      <c r="V83" s="587">
        <f>IF('Data entry'!$H$5="3.5% Declining",V51*V77,V51/((1+V$78)^V$4))</f>
        <v>0</v>
      </c>
      <c r="W83" s="587">
        <f>IF('Data entry'!$H$5="3.5% Declining",W51*W77,W51/((1+W$78)^W$4))</f>
        <v>0</v>
      </c>
      <c r="X83" s="587">
        <f>IF('Data entry'!$H$5="3.5% Declining",X51*X77,X51/((1+X$78)^X$4))</f>
        <v>0</v>
      </c>
      <c r="Y83" s="587">
        <f>IF('Data entry'!$H$5="3.5% Declining",Y51*Y77,Y51/((1+Y$78)^Y$4))</f>
        <v>0</v>
      </c>
      <c r="Z83" s="587">
        <f>IF('Data entry'!$H$5="3.5% Declining",Z51*Z77,Z51/((1+Z$78)^Z$4))</f>
        <v>0</v>
      </c>
      <c r="AA83" s="587">
        <f>IF('Data entry'!$H$5="3.5% Declining",AA51*AA77,AA51/((1+AA$78)^AA$4))</f>
        <v>0</v>
      </c>
      <c r="AB83" s="587">
        <f>IF('Data entry'!$H$5="3.5% Declining",AB51*AB77,AB51/((1+AB$78)^AB$4))</f>
        <v>0</v>
      </c>
      <c r="AC83" s="587">
        <f>IF('Data entry'!$H$5="3.5% Declining",AC51*AC77,AC51/((1+AC$78)^AC$4))</f>
        <v>0</v>
      </c>
      <c r="AD83" s="587">
        <f>IF('Data entry'!$H$5="3.5% Declining",AD51*AD77,AD51/((1+AD$78)^AD$4))</f>
        <v>0</v>
      </c>
      <c r="AE83" s="587">
        <f>IF('Data entry'!$H$5="3.5% Declining",AE51*AE77,AE51/((1+AE$78)^AE$4))</f>
        <v>0</v>
      </c>
      <c r="AF83" s="587">
        <f>IF('Data entry'!$H$5="3.5% Declining",AF51*AF77,AF51/((1+AF$78)^AF$4))</f>
        <v>0</v>
      </c>
      <c r="AG83" s="587">
        <f>IF('Data entry'!$H$5="3.5% Declining",AG51*AG77,AG51/((1+AG$78)^AG$4))</f>
        <v>0</v>
      </c>
      <c r="AH83" s="587">
        <f>IF('Data entry'!$H$5="3.5% Declining",AH51*AH77,AH51/((1+AH$78)^AH$4))</f>
        <v>0</v>
      </c>
      <c r="AI83" s="587">
        <f>IF('Data entry'!$H$5="3.5% Declining",AI51*AI77,AI51/((1+AI$78)^AI$4))</f>
        <v>0</v>
      </c>
      <c r="AJ83" s="587">
        <f>IF('Data entry'!$H$5="3.5% Declining",AJ51*AJ77,AJ51/((1+AJ$78)^AJ$4))</f>
        <v>0</v>
      </c>
      <c r="AK83" s="587">
        <f>IF('Data entry'!$H$5="3.5% Declining",AK51*AK77,AK51/((1+AK$78)^AK$4))</f>
        <v>0</v>
      </c>
      <c r="AL83" s="587">
        <f>IF('Data entry'!$H$5="3.5% Declining",AL51*AL77,AL51/((1+AL$78)^AL$4))</f>
        <v>0</v>
      </c>
      <c r="AM83" s="587">
        <f>IF('Data entry'!$H$5="3.5% Declining",AM51*AM77,AM51/((1+AM$78)^AM$4))</f>
        <v>0</v>
      </c>
      <c r="AN83" s="587">
        <f>IF('Data entry'!$H$5="3.5% Declining",AN51*AN77,AN51/((1+AN$78)^AN$4))</f>
        <v>0</v>
      </c>
      <c r="AO83" s="588">
        <f>IF('Data entry'!$H$5="3.5% Declining",AO51*AO77,AO51/((1+AO$78)^AO$4))</f>
        <v>0</v>
      </c>
      <c r="AP83" s="587">
        <f>IF('Data entry'!$H$5="3.5% Declining",AP51*AP77,AP51/((1+AP$78)^AP$4))</f>
        <v>0</v>
      </c>
      <c r="AQ83" s="587">
        <f>IF('Data entry'!$H$5="3.5% Declining",AQ51*AQ77,AQ51/((1+AQ$78)^AQ$4))</f>
        <v>0</v>
      </c>
      <c r="AR83" s="587">
        <f>IF('Data entry'!$H$5="3.5% Declining",AR51*AR77,AR51/((1+AR$78)^AR$4))</f>
        <v>0</v>
      </c>
      <c r="AS83" s="587">
        <f>IF('Data entry'!$H$5="3.5% Declining",AS51*AS77,AS51/((1+AS$78)^AS$4))</f>
        <v>0</v>
      </c>
      <c r="AT83" s="587">
        <f>IF('Data entry'!$H$5="3.5% Declining",AT51*AT77,AT51/((1+AT$78)^AT$4))</f>
        <v>0</v>
      </c>
      <c r="AU83" s="587">
        <f>IF('Data entry'!$H$5="3.5% Declining",AU51*AU77,AU51/((1+AU$78)^AU$4))</f>
        <v>0</v>
      </c>
      <c r="AV83" s="587">
        <f>IF('Data entry'!$H$5="3.5% Declining",AV51*AV77,AV51/((1+AV$78)^AV$4))</f>
        <v>0</v>
      </c>
      <c r="AW83" s="587">
        <f>IF('Data entry'!$H$5="3.5% Declining",AW51*AW77,AW51/((1+AW$78)^AW$4))</f>
        <v>0</v>
      </c>
      <c r="AX83" s="587">
        <f>IF('Data entry'!$H$5="3.5% Declining",AX51*AX77,AX51/((1+AX$78)^AX$4))</f>
        <v>0</v>
      </c>
      <c r="AY83" s="587">
        <f>IF('Data entry'!$H$5="3.5% Declining",AY51*AY77,AY51/((1+AY$78)^AY$4))</f>
        <v>0</v>
      </c>
      <c r="AZ83" s="587">
        <f>IF('Data entry'!$H$5="3.5% Declining",AZ51*AZ77,AZ51/((1+AZ$78)^AZ$4))</f>
        <v>0</v>
      </c>
      <c r="BA83" s="587">
        <f>IF('Data entry'!$H$5="3.5% Declining",BA51*BA77,BA51/((1+BA$78)^BA$4))</f>
        <v>0</v>
      </c>
      <c r="BB83" s="587">
        <f>IF('Data entry'!$H$5="3.5% Declining",BB51*BB77,BB51/((1+BB$78)^BB$4))</f>
        <v>0</v>
      </c>
      <c r="BC83" s="587">
        <f>IF('Data entry'!$H$5="3.5% Declining",BC51*BC77,BC51/((1+BC$78)^BC$4))</f>
        <v>0</v>
      </c>
      <c r="BD83" s="587">
        <f>IF('Data entry'!$H$5="3.5% Declining",BD51*BD77,BD51/((1+BD$78)^BD$4))</f>
        <v>0</v>
      </c>
      <c r="BE83" s="587">
        <f>IF('Data entry'!$H$5="3.5% Declining",BE51*BE77,BE51/((1+BE$78)^BE$4))</f>
        <v>0</v>
      </c>
      <c r="BF83" s="587">
        <f>IF('Data entry'!$H$5="3.5% Declining",BF51*BF77,BF51/((1+BF$78)^BF$4))</f>
        <v>0</v>
      </c>
      <c r="BG83" s="587">
        <f>IF('Data entry'!$H$5="3.5% Declining",BG51*BG77,BG51/((1+BG$78)^BG$4))</f>
        <v>0</v>
      </c>
      <c r="BH83" s="587">
        <f>IF('Data entry'!$H$5="3.5% Declining",BH51*BH77,BH51/((1+BH$78)^BH$4))</f>
        <v>0</v>
      </c>
      <c r="BI83" s="587">
        <f>IF('Data entry'!$H$5="3.5% Declining",BI51*BI77,BI51/((1+BI$78)^BI$4))</f>
        <v>0</v>
      </c>
      <c r="BJ83" s="587">
        <f>IF('Data entry'!$H$5="3.5% Declining",BJ51*BJ77,BJ51/((1+BJ$78)^BJ$4))</f>
        <v>0</v>
      </c>
      <c r="BK83" s="588">
        <f>IF('Data entry'!$H$5="3.5% Declining",BK51*BK77,BK51/((1+BK$78)^BK$4))</f>
        <v>0</v>
      </c>
      <c r="BL83" s="587">
        <f>IF('Data entry'!$H$5="3.5% Declining",BL51*BL77,BL51/((1+BL$78)^BL$4))</f>
        <v>0</v>
      </c>
      <c r="BM83" s="587">
        <f>IF('Data entry'!$H$5="3.5% Declining",BM51*BM77,BM51/((1+BM$78)^BM$4))</f>
        <v>0</v>
      </c>
      <c r="BN83" s="587">
        <f>IF('Data entry'!$H$5="3.5% Declining",BN51*BN77,BN51/((1+BN$78)^BN$4))</f>
        <v>0</v>
      </c>
      <c r="BO83" s="587">
        <f>IF('Data entry'!$H$5="3.5% Declining",BO51*BO77,BO51/((1+BO$78)^BO$4))</f>
        <v>0</v>
      </c>
      <c r="BP83" s="587">
        <f>IF('Data entry'!$H$5="3.5% Declining",BP51*BP77,BP51/((1+BP$78)^BP$4))</f>
        <v>0</v>
      </c>
      <c r="BQ83" s="587">
        <f>IF('Data entry'!$H$5="3.5% Declining",BQ51*BQ77,BQ51/((1+BQ$78)^BQ$4))</f>
        <v>0</v>
      </c>
      <c r="BR83" s="587">
        <f>IF('Data entry'!$H$5="3.5% Declining",BR51*BR77,BR51/((1+BR$78)^BR$4))</f>
        <v>0</v>
      </c>
      <c r="BS83" s="587">
        <f>IF('Data entry'!$H$5="3.5% Declining",BS51*BS77,BS51/((1+BS$78)^BS$4))</f>
        <v>0</v>
      </c>
      <c r="BT83" s="587">
        <f>IF('Data entry'!$H$5="3.5% Declining",BT51*BT77,BT51/((1+BT$78)^BT$4))</f>
        <v>0</v>
      </c>
      <c r="BU83" s="587">
        <f>IF('Data entry'!$H$5="3.5% Declining",BU51*BU77,BU51/((1+BU$78)^BU$4))</f>
        <v>0</v>
      </c>
      <c r="BV83" s="587">
        <f>IF('Data entry'!$H$5="3.5% Declining",BV51*BV77,BV51/((1+BV$78)^BV$4))</f>
        <v>0</v>
      </c>
      <c r="BW83" s="587">
        <f>IF('Data entry'!$H$5="3.5% Declining",BW51*BW77,BW51/((1+BW$78)^BW$4))</f>
        <v>0</v>
      </c>
      <c r="BX83" s="587">
        <f>IF('Data entry'!$H$5="3.5% Declining",BX51*BX77,BX51/((1+BX$78)^BX$4))</f>
        <v>0</v>
      </c>
      <c r="BY83" s="587">
        <f>IF('Data entry'!$H$5="3.5% Declining",BY51*BY77,BY51/((1+BY$78)^BY$4))</f>
        <v>0</v>
      </c>
      <c r="BZ83" s="587">
        <f>IF('Data entry'!$H$5="3.5% Declining",BZ51*BZ77,BZ51/((1+BZ$78)^BZ$4))</f>
        <v>0</v>
      </c>
      <c r="CA83" s="588">
        <f>IF('Data entry'!$H$5="3.5% Declining",CA51*CA77,CA51/((1+CA$78)^CA$4))</f>
        <v>0</v>
      </c>
      <c r="CB83" s="587">
        <f>IF('Data entry'!$H$5="3.5% Declining",CB51*CB77,CB51/((1+CB$78)^CB$4))</f>
        <v>0</v>
      </c>
      <c r="CC83" s="587">
        <f>IF('Data entry'!$H$5="3.5% Declining",CC51*CC77,CC51/((1+CC$78)^CC$4))</f>
        <v>0</v>
      </c>
      <c r="CD83" s="587">
        <f>IF('Data entry'!$H$5="3.5% Declining",CD51*CD77,CD51/((1+CD$78)^CD$4))</f>
        <v>0</v>
      </c>
      <c r="CE83" s="587">
        <f>IF('Data entry'!$H$5="3.5% Declining",CE51*CE77,CE51/((1+CE$78)^CE$4))</f>
        <v>0</v>
      </c>
      <c r="CF83" s="587">
        <f>IF('Data entry'!$H$5="3.5% Declining",CF51*CF77,CF51/((1+CF$78)^CF$4))</f>
        <v>0</v>
      </c>
      <c r="CG83" s="587">
        <f>IF('Data entry'!$H$5="3.5% Declining",CG51*CG77,CG51/((1+CG$78)^CG$4))</f>
        <v>0</v>
      </c>
      <c r="CH83" s="587">
        <f>IF('Data entry'!$H$5="3.5% Declining",CH51*CH77,CH51/((1+CH$78)^CH$4))</f>
        <v>0</v>
      </c>
      <c r="CI83" s="587">
        <f>IF('Data entry'!$H$5="3.5% Declining",CI51*CI77,CI51/((1+CI$78)^CI$4))</f>
        <v>0</v>
      </c>
      <c r="CJ83" s="587">
        <f>IF('Data entry'!$H$5="3.5% Declining",CJ51*CJ77,CJ51/((1+CJ$78)^CJ$4))</f>
        <v>0</v>
      </c>
      <c r="CK83" s="587">
        <f>IF('Data entry'!$H$5="3.5% Declining",CK51*CK77,CK51/((1+CK$78)^CK$4))</f>
        <v>0</v>
      </c>
      <c r="CL83" s="587">
        <f>IF('Data entry'!$H$5="3.5% Declining",CL51*CL77,CL51/((1+CL$78)^CL$4))</f>
        <v>0</v>
      </c>
      <c r="CM83" s="587">
        <f>IF('Data entry'!$H$5="3.5% Declining",CM51*CM77,CM51/((1+CM$78)^CM$4))</f>
        <v>0</v>
      </c>
      <c r="CN83" s="587">
        <f>IF('Data entry'!$H$5="3.5% Declining",CN51*CN77,CN51/((1+CN$78)^CN$4))</f>
        <v>0</v>
      </c>
      <c r="CO83" s="587">
        <f>IF('Data entry'!$H$5="3.5% Declining",CO51*CO77,CO51/((1+CO$78)^CO$4))</f>
        <v>0</v>
      </c>
      <c r="CP83" s="587">
        <f>IF('Data entry'!$H$5="3.5% Declining",CP51*CP77,CP51/((1+CP$78)^CP$4))</f>
        <v>0</v>
      </c>
      <c r="CQ83" s="587">
        <f>IF('Data entry'!$H$5="3.5% Declining",CQ51*CQ77,CQ51/((1+CQ$78)^CQ$4))</f>
        <v>0</v>
      </c>
      <c r="CR83" s="587">
        <f>IF('Data entry'!$H$5="3.5% Declining",CR51*CR77,CR51/((1+CR$78)^CR$4))</f>
        <v>0</v>
      </c>
      <c r="CS83" s="587">
        <f>IF('Data entry'!$H$5="3.5% Declining",CS51*CS77,CS51/((1+CS$78)^CS$4))</f>
        <v>0</v>
      </c>
      <c r="CT83" s="587">
        <f>IF('Data entry'!$H$5="3.5% Declining",CT51*CT77,CT51/((1+CT$78)^CT$4))</f>
        <v>0</v>
      </c>
      <c r="CU83" s="587">
        <f>IF('Data entry'!$H$5="3.5% Declining",CU51*CU77,CU51/((1+CU$78)^CU$4))</f>
        <v>0</v>
      </c>
      <c r="CV83" s="587">
        <f>IF('Data entry'!$H$5="3.5% Declining",CV51*CV77,CV51/((1+CV$78)^CV$4))</f>
        <v>0</v>
      </c>
      <c r="CW83" s="587">
        <f>IF('Data entry'!$H$5="3.5% Declining",CW51*CW77,CW51/((1+CW$78)^CW$4))</f>
        <v>0</v>
      </c>
      <c r="CX83" s="587">
        <f>IF('Data entry'!$H$5="3.5% Declining",CX51*CX77,CX51/((1+CX$78)^CX$4))</f>
        <v>0</v>
      </c>
      <c r="CY83" s="589">
        <f>IF('Data entry'!$H$5="3.5% Declining",CY51*CY77,CY51/((1+CY$78)^CY$4))</f>
        <v>0</v>
      </c>
    </row>
    <row r="84" spans="1:103" ht="15" customHeight="1" x14ac:dyDescent="0.35">
      <c r="A84" s="590" t="s">
        <v>570</v>
      </c>
      <c r="B84" s="591"/>
      <c r="C84" s="592">
        <f t="shared" si="43"/>
        <v>0</v>
      </c>
      <c r="D84" s="593">
        <f>IF('Data entry'!$H$5="3.5% Declining",D52*D77,D52/((1+D$78)^D$4))</f>
        <v>0</v>
      </c>
      <c r="E84" s="593">
        <f>IF('Data entry'!$H$5="3.5% Declining",E52*E77,E52/((1+E$78)^E$4))</f>
        <v>0</v>
      </c>
      <c r="F84" s="593">
        <f>IF('Data entry'!$H$5="3.5% Declining",F52*F77,F52/((1+F$78)^F$4))</f>
        <v>0</v>
      </c>
      <c r="G84" s="593">
        <f>IF('Data entry'!$H$5="3.5% Declining",G52*G77,G52/((1+G$78)^G$4))</f>
        <v>0</v>
      </c>
      <c r="H84" s="593">
        <f>IF('Data entry'!$H$5="3.5% Declining",H52*H77,H52/((1+H$78)^H$4))</f>
        <v>0</v>
      </c>
      <c r="I84" s="593">
        <f>IF('Data entry'!$H$5="3.5% Declining",I52*I77,I52/((1+I$78)^I$4))</f>
        <v>0</v>
      </c>
      <c r="J84" s="593">
        <f>IF('Data entry'!$H$5="3.5% Declining",J52*J77,J52/((1+J$78)^J$4))</f>
        <v>0</v>
      </c>
      <c r="K84" s="593">
        <f>IF('Data entry'!$H$5="3.5% Declining",K52*K77,K52/((1+K$78)^K$4))</f>
        <v>0</v>
      </c>
      <c r="L84" s="593">
        <f>IF('Data entry'!$H$5="3.5% Declining",L52*L77,L52/((1+L$78)^L$4))</f>
        <v>0</v>
      </c>
      <c r="M84" s="593">
        <f>IF('Data entry'!$H$5="3.5% Declining",M52*M77,M52/((1+M$78)^M$4))</f>
        <v>0</v>
      </c>
      <c r="N84" s="593">
        <f>IF('Data entry'!$H$5="3.5% Declining",N52*N77,N52/((1+N$78)^N$4))</f>
        <v>0</v>
      </c>
      <c r="O84" s="593">
        <f>IF('Data entry'!$H$5="3.5% Declining",O52*O77,O52/((1+O$78)^O$4))</f>
        <v>0</v>
      </c>
      <c r="P84" s="593">
        <f>IF('Data entry'!$H$5="3.5% Declining",P52*P77,P52/((1+P$78)^P$4))</f>
        <v>0</v>
      </c>
      <c r="Q84" s="593">
        <f>IF('Data entry'!$H$5="3.5% Declining",Q52*Q77,Q52/((1+Q$78)^Q$4))</f>
        <v>0</v>
      </c>
      <c r="R84" s="593">
        <f>IF('Data entry'!$H$5="3.5% Declining",R52*R77,R52/((1+R$78)^R$4))</f>
        <v>0</v>
      </c>
      <c r="S84" s="593">
        <f>IF('Data entry'!$H$5="3.5% Declining",S52*S77,S52/((1+S$78)^S$4))</f>
        <v>0</v>
      </c>
      <c r="T84" s="593">
        <f>IF('Data entry'!$H$5="3.5% Declining",T52*T77,T52/((1+T$78)^T$4))</f>
        <v>0</v>
      </c>
      <c r="U84" s="593">
        <f>IF('Data entry'!$H$5="3.5% Declining",U52*U77,U52/((1+U$78)^U$4))</f>
        <v>0</v>
      </c>
      <c r="V84" s="593">
        <f>IF('Data entry'!$H$5="3.5% Declining",V52*V77,V52/((1+V$78)^V$4))</f>
        <v>0</v>
      </c>
      <c r="W84" s="593">
        <f>IF('Data entry'!$H$5="3.5% Declining",W52*W77,W52/((1+W$78)^W$4))</f>
        <v>0</v>
      </c>
      <c r="X84" s="593">
        <f>IF('Data entry'!$H$5="3.5% Declining",X52*X77,X52/((1+X$78)^X$4))</f>
        <v>0</v>
      </c>
      <c r="Y84" s="593">
        <f>IF('Data entry'!$H$5="3.5% Declining",Y52*Y77,Y52/((1+Y$78)^Y$4))</f>
        <v>0</v>
      </c>
      <c r="Z84" s="593">
        <f>IF('Data entry'!$H$5="3.5% Declining",Z52*Z77,Z52/((1+Z$78)^Z$4))</f>
        <v>0</v>
      </c>
      <c r="AA84" s="593">
        <f>IF('Data entry'!$H$5="3.5% Declining",AA52*AA77,AA52/((1+AA$78)^AA$4))</f>
        <v>0</v>
      </c>
      <c r="AB84" s="593">
        <f>IF('Data entry'!$H$5="3.5% Declining",AB52*AB77,AB52/((1+AB$78)^AB$4))</f>
        <v>0</v>
      </c>
      <c r="AC84" s="593">
        <f>IF('Data entry'!$H$5="3.5% Declining",AC52*AC77,AC52/((1+AC$78)^AC$4))</f>
        <v>0</v>
      </c>
      <c r="AD84" s="593">
        <f>IF('Data entry'!$H$5="3.5% Declining",AD52*AD77,AD52/((1+AD$78)^AD$4))</f>
        <v>0</v>
      </c>
      <c r="AE84" s="593">
        <f>IF('Data entry'!$H$5="3.5% Declining",AE52*AE77,AE52/((1+AE$78)^AE$4))</f>
        <v>0</v>
      </c>
      <c r="AF84" s="593">
        <f>IF('Data entry'!$H$5="3.5% Declining",AF52*AF77,AF52/((1+AF$78)^AF$4))</f>
        <v>0</v>
      </c>
      <c r="AG84" s="593">
        <f>IF('Data entry'!$H$5="3.5% Declining",AG52*AG77,AG52/((1+AG$78)^AG$4))</f>
        <v>0</v>
      </c>
      <c r="AH84" s="593">
        <f>IF('Data entry'!$H$5="3.5% Declining",AH52*AH77,AH52/((1+AH$78)^AH$4))</f>
        <v>0</v>
      </c>
      <c r="AI84" s="593">
        <f>IF('Data entry'!$H$5="3.5% Declining",AI52*AI77,AI52/((1+AI$78)^AI$4))</f>
        <v>0</v>
      </c>
      <c r="AJ84" s="593">
        <f>IF('Data entry'!$H$5="3.5% Declining",AJ52*AJ77,AJ52/((1+AJ$78)^AJ$4))</f>
        <v>0</v>
      </c>
      <c r="AK84" s="593">
        <f>IF('Data entry'!$H$5="3.5% Declining",AK52*AK77,AK52/((1+AK$78)^AK$4))</f>
        <v>0</v>
      </c>
      <c r="AL84" s="593">
        <f>IF('Data entry'!$H$5="3.5% Declining",AL52*AL77,AL52/((1+AL$78)^AL$4))</f>
        <v>0</v>
      </c>
      <c r="AM84" s="593">
        <f>IF('Data entry'!$H$5="3.5% Declining",AM52*AM77,AM52/((1+AM$78)^AM$4))</f>
        <v>0</v>
      </c>
      <c r="AN84" s="593">
        <f>IF('Data entry'!$H$5="3.5% Declining",AN52*AN77,AN52/((1+AN$78)^AN$4))</f>
        <v>0</v>
      </c>
      <c r="AO84" s="594">
        <f>IF('Data entry'!$H$5="3.5% Declining",AO52*AO77,AO52/((1+AO$78)^AO$4))</f>
        <v>0</v>
      </c>
      <c r="AP84" s="593">
        <f>IF('Data entry'!$H$5="3.5% Declining",AP52*AP77,AP52/((1+AP$78)^AP$4))</f>
        <v>0</v>
      </c>
      <c r="AQ84" s="593">
        <f>IF('Data entry'!$H$5="3.5% Declining",AQ52*AQ77,AQ52/((1+AQ$78)^AQ$4))</f>
        <v>0</v>
      </c>
      <c r="AR84" s="593">
        <f>IF('Data entry'!$H$5="3.5% Declining",AR52*AR77,AR52/((1+AR$78)^AR$4))</f>
        <v>0</v>
      </c>
      <c r="AS84" s="593">
        <f>IF('Data entry'!$H$5="3.5% Declining",AS52*AS77,AS52/((1+AS$78)^AS$4))</f>
        <v>0</v>
      </c>
      <c r="AT84" s="593">
        <f>IF('Data entry'!$H$5="3.5% Declining",AT52*AT77,AT52/((1+AT$78)^AT$4))</f>
        <v>0</v>
      </c>
      <c r="AU84" s="593">
        <f>IF('Data entry'!$H$5="3.5% Declining",AU52*AU77,AU52/((1+AU$78)^AU$4))</f>
        <v>0</v>
      </c>
      <c r="AV84" s="593">
        <f>IF('Data entry'!$H$5="3.5% Declining",AV52*AV77,AV52/((1+AV$78)^AV$4))</f>
        <v>0</v>
      </c>
      <c r="AW84" s="593">
        <f>IF('Data entry'!$H$5="3.5% Declining",AW52*AW77,AW52/((1+AW$78)^AW$4))</f>
        <v>0</v>
      </c>
      <c r="AX84" s="593">
        <f>IF('Data entry'!$H$5="3.5% Declining",AX52*AX77,AX52/((1+AX$78)^AX$4))</f>
        <v>0</v>
      </c>
      <c r="AY84" s="593">
        <f>IF('Data entry'!$H$5="3.5% Declining",AY52*AY77,AY52/((1+AY$78)^AY$4))</f>
        <v>0</v>
      </c>
      <c r="AZ84" s="593">
        <f>IF('Data entry'!$H$5="3.5% Declining",AZ52*AZ77,AZ52/((1+AZ$78)^AZ$4))</f>
        <v>0</v>
      </c>
      <c r="BA84" s="593">
        <f>IF('Data entry'!$H$5="3.5% Declining",BA52*BA77,BA52/((1+BA$78)^BA$4))</f>
        <v>0</v>
      </c>
      <c r="BB84" s="593">
        <f>IF('Data entry'!$H$5="3.5% Declining",BB52*BB77,BB52/((1+BB$78)^BB$4))</f>
        <v>0</v>
      </c>
      <c r="BC84" s="593">
        <f>IF('Data entry'!$H$5="3.5% Declining",BC52*BC77,BC52/((1+BC$78)^BC$4))</f>
        <v>0</v>
      </c>
      <c r="BD84" s="593">
        <f>IF('Data entry'!$H$5="3.5% Declining",BD52*BD77,BD52/((1+BD$78)^BD$4))</f>
        <v>0</v>
      </c>
      <c r="BE84" s="593">
        <f>IF('Data entry'!$H$5="3.5% Declining",BE52*BE77,BE52/((1+BE$78)^BE$4))</f>
        <v>0</v>
      </c>
      <c r="BF84" s="593">
        <f>IF('Data entry'!$H$5="3.5% Declining",BF52*BF77,BF52/((1+BF$78)^BF$4))</f>
        <v>0</v>
      </c>
      <c r="BG84" s="593">
        <f>IF('Data entry'!$H$5="3.5% Declining",BG52*BG77,BG52/((1+BG$78)^BG$4))</f>
        <v>0</v>
      </c>
      <c r="BH84" s="593">
        <f>IF('Data entry'!$H$5="3.5% Declining",BH52*BH77,BH52/((1+BH$78)^BH$4))</f>
        <v>0</v>
      </c>
      <c r="BI84" s="593">
        <f>IF('Data entry'!$H$5="3.5% Declining",BI52*BI77,BI52/((1+BI$78)^BI$4))</f>
        <v>0</v>
      </c>
      <c r="BJ84" s="593">
        <f>IF('Data entry'!$H$5="3.5% Declining",BJ52*BJ77,BJ52/((1+BJ$78)^BJ$4))</f>
        <v>0</v>
      </c>
      <c r="BK84" s="594">
        <f>IF('Data entry'!$H$5="3.5% Declining",BK52*BK77,BK52/((1+BK$78)^BK$4))</f>
        <v>0</v>
      </c>
      <c r="BL84" s="593">
        <f>IF('Data entry'!$H$5="3.5% Declining",BL52*BL77,BL52/((1+BL$78)^BL$4))</f>
        <v>0</v>
      </c>
      <c r="BM84" s="593">
        <f>IF('Data entry'!$H$5="3.5% Declining",BM52*BM77,BM52/((1+BM$78)^BM$4))</f>
        <v>0</v>
      </c>
      <c r="BN84" s="593">
        <f>IF('Data entry'!$H$5="3.5% Declining",BN52*BN77,BN52/((1+BN$78)^BN$4))</f>
        <v>0</v>
      </c>
      <c r="BO84" s="593">
        <f>IF('Data entry'!$H$5="3.5% Declining",BO52*BO77,BO52/((1+BO$78)^BO$4))</f>
        <v>0</v>
      </c>
      <c r="BP84" s="593">
        <f>IF('Data entry'!$H$5="3.5% Declining",BP52*BP77,BP52/((1+BP$78)^BP$4))</f>
        <v>0</v>
      </c>
      <c r="BQ84" s="593">
        <f>IF('Data entry'!$H$5="3.5% Declining",BQ52*BQ77,BQ52/((1+BQ$78)^BQ$4))</f>
        <v>0</v>
      </c>
      <c r="BR84" s="593">
        <f>IF('Data entry'!$H$5="3.5% Declining",BR52*BR77,BR52/((1+BR$78)^BR$4))</f>
        <v>0</v>
      </c>
      <c r="BS84" s="593">
        <f>IF('Data entry'!$H$5="3.5% Declining",BS52*BS77,BS52/((1+BS$78)^BS$4))</f>
        <v>0</v>
      </c>
      <c r="BT84" s="593">
        <f>IF('Data entry'!$H$5="3.5% Declining",BT52*BT77,BT52/((1+BT$78)^BT$4))</f>
        <v>0</v>
      </c>
      <c r="BU84" s="593">
        <f>IF('Data entry'!$H$5="3.5% Declining",BU52*BU77,BU52/((1+BU$78)^BU$4))</f>
        <v>0</v>
      </c>
      <c r="BV84" s="593">
        <f>IF('Data entry'!$H$5="3.5% Declining",BV52*BV77,BV52/((1+BV$78)^BV$4))</f>
        <v>0</v>
      </c>
      <c r="BW84" s="593">
        <f>IF('Data entry'!$H$5="3.5% Declining",BW52*BW77,BW52/((1+BW$78)^BW$4))</f>
        <v>0</v>
      </c>
      <c r="BX84" s="593">
        <f>IF('Data entry'!$H$5="3.5% Declining",BX52*BX77,BX52/((1+BX$78)^BX$4))</f>
        <v>0</v>
      </c>
      <c r="BY84" s="593">
        <f>IF('Data entry'!$H$5="3.5% Declining",BY52*BY77,BY52/((1+BY$78)^BY$4))</f>
        <v>0</v>
      </c>
      <c r="BZ84" s="593">
        <f>IF('Data entry'!$H$5="3.5% Declining",BZ52*BZ77,BZ52/((1+BZ$78)^BZ$4))</f>
        <v>0</v>
      </c>
      <c r="CA84" s="594">
        <f>IF('Data entry'!$H$5="3.5% Declining",CA52*CA77,CA52/((1+CA$78)^CA$4))</f>
        <v>0</v>
      </c>
      <c r="CB84" s="593">
        <f>IF('Data entry'!$H$5="3.5% Declining",CB52*CB77,CB52/((1+CB$78)^CB$4))</f>
        <v>0</v>
      </c>
      <c r="CC84" s="593">
        <f>IF('Data entry'!$H$5="3.5% Declining",CC52*CC77,CC52/((1+CC$78)^CC$4))</f>
        <v>0</v>
      </c>
      <c r="CD84" s="593">
        <f>IF('Data entry'!$H$5="3.5% Declining",CD52*CD77,CD52/((1+CD$78)^CD$4))</f>
        <v>0</v>
      </c>
      <c r="CE84" s="593">
        <f>IF('Data entry'!$H$5="3.5% Declining",CE52*CE77,CE52/((1+CE$78)^CE$4))</f>
        <v>0</v>
      </c>
      <c r="CF84" s="593">
        <f>IF('Data entry'!$H$5="3.5% Declining",CF52*CF77,CF52/((1+CF$78)^CF$4))</f>
        <v>0</v>
      </c>
      <c r="CG84" s="593">
        <f>IF('Data entry'!$H$5="3.5% Declining",CG52*CG77,CG52/((1+CG$78)^CG$4))</f>
        <v>0</v>
      </c>
      <c r="CH84" s="593">
        <f>IF('Data entry'!$H$5="3.5% Declining",CH52*CH77,CH52/((1+CH$78)^CH$4))</f>
        <v>0</v>
      </c>
      <c r="CI84" s="593">
        <f>IF('Data entry'!$H$5="3.5% Declining",CI52*CI77,CI52/((1+CI$78)^CI$4))</f>
        <v>0</v>
      </c>
      <c r="CJ84" s="593">
        <f>IF('Data entry'!$H$5="3.5% Declining",CJ52*CJ77,CJ52/((1+CJ$78)^CJ$4))</f>
        <v>0</v>
      </c>
      <c r="CK84" s="593">
        <f>IF('Data entry'!$H$5="3.5% Declining",CK52*CK77,CK52/((1+CK$78)^CK$4))</f>
        <v>0</v>
      </c>
      <c r="CL84" s="593">
        <f>IF('Data entry'!$H$5="3.5% Declining",CL52*CL77,CL52/((1+CL$78)^CL$4))</f>
        <v>0</v>
      </c>
      <c r="CM84" s="593">
        <f>IF('Data entry'!$H$5="3.5% Declining",CM52*CM77,CM52/((1+CM$78)^CM$4))</f>
        <v>0</v>
      </c>
      <c r="CN84" s="593">
        <f>IF('Data entry'!$H$5="3.5% Declining",CN52*CN77,CN52/((1+CN$78)^CN$4))</f>
        <v>0</v>
      </c>
      <c r="CO84" s="593">
        <f>IF('Data entry'!$H$5="3.5% Declining",CO52*CO77,CO52/((1+CO$78)^CO$4))</f>
        <v>0</v>
      </c>
      <c r="CP84" s="593">
        <f>IF('Data entry'!$H$5="3.5% Declining",CP52*CP77,CP52/((1+CP$78)^CP$4))</f>
        <v>0</v>
      </c>
      <c r="CQ84" s="593">
        <f>IF('Data entry'!$H$5="3.5% Declining",CQ52*CQ77,CQ52/((1+CQ$78)^CQ$4))</f>
        <v>0</v>
      </c>
      <c r="CR84" s="593">
        <f>IF('Data entry'!$H$5="3.5% Declining",CR52*CR77,CR52/((1+CR$78)^CR$4))</f>
        <v>0</v>
      </c>
      <c r="CS84" s="593">
        <f>IF('Data entry'!$H$5="3.5% Declining",CS52*CS77,CS52/((1+CS$78)^CS$4))</f>
        <v>0</v>
      </c>
      <c r="CT84" s="593">
        <f>IF('Data entry'!$H$5="3.5% Declining",CT52*CT77,CT52/((1+CT$78)^CT$4))</f>
        <v>0</v>
      </c>
      <c r="CU84" s="593">
        <f>IF('Data entry'!$H$5="3.5% Declining",CU52*CU77,CU52/((1+CU$78)^CU$4))</f>
        <v>0</v>
      </c>
      <c r="CV84" s="593">
        <f>IF('Data entry'!$H$5="3.5% Declining",CV52*CV77,CV52/((1+CV$78)^CV$4))</f>
        <v>0</v>
      </c>
      <c r="CW84" s="593">
        <f>IF('Data entry'!$H$5="3.5% Declining",CW52*CW77,CW52/((1+CW$78)^CW$4))</f>
        <v>0</v>
      </c>
      <c r="CX84" s="593">
        <f>IF('Data entry'!$H$5="3.5% Declining",CX52*CX77,CX52/((1+CX$78)^CX$4))</f>
        <v>0</v>
      </c>
      <c r="CY84" s="595">
        <f>IF('Data entry'!$H$5="3.5% Declining",CY52*CY77,CY52/((1+CY$78)^CY$4))</f>
        <v>0</v>
      </c>
    </row>
    <row r="85" spans="1:103" ht="15" customHeight="1" x14ac:dyDescent="0.35">
      <c r="A85" s="590" t="s">
        <v>571</v>
      </c>
      <c r="B85" s="591"/>
      <c r="C85" s="592">
        <f t="shared" si="43"/>
        <v>0</v>
      </c>
      <c r="D85" s="593">
        <f>IF('Data entry'!$H$5="3.5% Declining",D53*D77,D53/((1+D$78)^D$4))</f>
        <v>0</v>
      </c>
      <c r="E85" s="593">
        <f>IF('Data entry'!$H$5="3.5% Declining",E53*E77,E53/((1+E$78)^E$4))</f>
        <v>0</v>
      </c>
      <c r="F85" s="593">
        <f>IF('Data entry'!$H$5="3.5% Declining",F53*F77,F53/((1+F$78)^F$4))</f>
        <v>0</v>
      </c>
      <c r="G85" s="593">
        <f>IF('Data entry'!$H$5="3.5% Declining",G53*G77,G53/((1+G$78)^G$4))</f>
        <v>0</v>
      </c>
      <c r="H85" s="593">
        <f>IF('Data entry'!$H$5="3.5% Declining",H53*H77,H53/((1+H$78)^H$4))</f>
        <v>0</v>
      </c>
      <c r="I85" s="593">
        <f>IF('Data entry'!$H$5="3.5% Declining",I53*I77,I53/((1+I$78)^I$4))</f>
        <v>0</v>
      </c>
      <c r="J85" s="593">
        <f>IF('Data entry'!$H$5="3.5% Declining",J53*J77,J53/((1+J$78)^J$4))</f>
        <v>0</v>
      </c>
      <c r="K85" s="593">
        <f>IF('Data entry'!$H$5="3.5% Declining",K53*K77,K53/((1+K$78)^K$4))</f>
        <v>0</v>
      </c>
      <c r="L85" s="593">
        <f>IF('Data entry'!$H$5="3.5% Declining",L53*L77,L53/((1+L$78)^L$4))</f>
        <v>0</v>
      </c>
      <c r="M85" s="593">
        <f>IF('Data entry'!$H$5="3.5% Declining",M53*M77,M53/((1+M$78)^M$4))</f>
        <v>0</v>
      </c>
      <c r="N85" s="593">
        <f>IF('Data entry'!$H$5="3.5% Declining",N53*N77,N53/((1+N$78)^N$4))</f>
        <v>0</v>
      </c>
      <c r="O85" s="593">
        <f>IF('Data entry'!$H$5="3.5% Declining",O53*O77,O53/((1+O$78)^O$4))</f>
        <v>0</v>
      </c>
      <c r="P85" s="593">
        <f>IF('Data entry'!$H$5="3.5% Declining",P53*P77,P53/((1+P$78)^P$4))</f>
        <v>0</v>
      </c>
      <c r="Q85" s="593">
        <f>IF('Data entry'!$H$5="3.5% Declining",Q53*Q77,Q53/((1+Q$78)^Q$4))</f>
        <v>0</v>
      </c>
      <c r="R85" s="593">
        <f>IF('Data entry'!$H$5="3.5% Declining",R53*R77,R53/((1+R$78)^R$4))</f>
        <v>0</v>
      </c>
      <c r="S85" s="593">
        <f>IF('Data entry'!$H$5="3.5% Declining",S53*S77,S53/((1+S$78)^S$4))</f>
        <v>0</v>
      </c>
      <c r="T85" s="593">
        <f>IF('Data entry'!$H$5="3.5% Declining",T53*T77,T53/((1+T$78)^T$4))</f>
        <v>0</v>
      </c>
      <c r="U85" s="593">
        <f>IF('Data entry'!$H$5="3.5% Declining",U53*U77,U53/((1+U$78)^U$4))</f>
        <v>0</v>
      </c>
      <c r="V85" s="593">
        <f>IF('Data entry'!$H$5="3.5% Declining",V53*V77,V53/((1+V$78)^V$4))</f>
        <v>0</v>
      </c>
      <c r="W85" s="593">
        <f>IF('Data entry'!$H$5="3.5% Declining",W53*W77,W53/((1+W$78)^W$4))</f>
        <v>0</v>
      </c>
      <c r="X85" s="593">
        <f>IF('Data entry'!$H$5="3.5% Declining",X53*X77,X53/((1+X$78)^X$4))</f>
        <v>0</v>
      </c>
      <c r="Y85" s="593">
        <f>IF('Data entry'!$H$5="3.5% Declining",Y53*Y77,Y53/((1+Y$78)^Y$4))</f>
        <v>0</v>
      </c>
      <c r="Z85" s="593">
        <f>IF('Data entry'!$H$5="3.5% Declining",Z53*Z77,Z53/((1+Z$78)^Z$4))</f>
        <v>0</v>
      </c>
      <c r="AA85" s="593">
        <f>IF('Data entry'!$H$5="3.5% Declining",AA53*AA77,AA53/((1+AA$78)^AA$4))</f>
        <v>0</v>
      </c>
      <c r="AB85" s="593">
        <f>IF('Data entry'!$H$5="3.5% Declining",AB53*AB77,AB53/((1+AB$78)^AB$4))</f>
        <v>0</v>
      </c>
      <c r="AC85" s="593">
        <f>IF('Data entry'!$H$5="3.5% Declining",AC53*AC77,AC53/((1+AC$78)^AC$4))</f>
        <v>0</v>
      </c>
      <c r="AD85" s="593">
        <f>IF('Data entry'!$H$5="3.5% Declining",AD53*AD77,AD53/((1+AD$78)^AD$4))</f>
        <v>0</v>
      </c>
      <c r="AE85" s="593">
        <f>IF('Data entry'!$H$5="3.5% Declining",AE53*AE77,AE53/((1+AE$78)^AE$4))</f>
        <v>0</v>
      </c>
      <c r="AF85" s="593">
        <f>IF('Data entry'!$H$5="3.5% Declining",AF53*AF77,AF53/((1+AF$78)^AF$4))</f>
        <v>0</v>
      </c>
      <c r="AG85" s="593">
        <f>IF('Data entry'!$H$5="3.5% Declining",AG53*AG77,AG53/((1+AG$78)^AG$4))</f>
        <v>0</v>
      </c>
      <c r="AH85" s="593">
        <f>IF('Data entry'!$H$5="3.5% Declining",AH53*AH77,AH53/((1+AH$78)^AH$4))</f>
        <v>0</v>
      </c>
      <c r="AI85" s="593">
        <f>IF('Data entry'!$H$5="3.5% Declining",AI53*AI77,AI53/((1+AI$78)^AI$4))</f>
        <v>0</v>
      </c>
      <c r="AJ85" s="593">
        <f>IF('Data entry'!$H$5="3.5% Declining",AJ53*AJ77,AJ53/((1+AJ$78)^AJ$4))</f>
        <v>0</v>
      </c>
      <c r="AK85" s="593">
        <f>IF('Data entry'!$H$5="3.5% Declining",AK53*AK77,AK53/((1+AK$78)^AK$4))</f>
        <v>0</v>
      </c>
      <c r="AL85" s="593">
        <f>IF('Data entry'!$H$5="3.5% Declining",AL53*AL77,AL53/((1+AL$78)^AL$4))</f>
        <v>0</v>
      </c>
      <c r="AM85" s="593">
        <f>IF('Data entry'!$H$5="3.5% Declining",AM53*AM77,AM53/((1+AM$78)^AM$4))</f>
        <v>0</v>
      </c>
      <c r="AN85" s="593">
        <f>IF('Data entry'!$H$5="3.5% Declining",AN53*AN77,AN53/((1+AN$78)^AN$4))</f>
        <v>0</v>
      </c>
      <c r="AO85" s="594">
        <f>IF('Data entry'!$H$5="3.5% Declining",AO53*AO77,AO53/((1+AO$78)^AO$4))</f>
        <v>0</v>
      </c>
      <c r="AP85" s="593">
        <f>IF('Data entry'!$H$5="3.5% Declining",AP53*AP77,AP53/((1+AP$78)^AP$4))</f>
        <v>0</v>
      </c>
      <c r="AQ85" s="593">
        <f>IF('Data entry'!$H$5="3.5% Declining",AQ53*AQ77,AQ53/((1+AQ$78)^AQ$4))</f>
        <v>0</v>
      </c>
      <c r="AR85" s="593">
        <f>IF('Data entry'!$H$5="3.5% Declining",AR53*AR77,AR53/((1+AR$78)^AR$4))</f>
        <v>0</v>
      </c>
      <c r="AS85" s="593">
        <f>IF('Data entry'!$H$5="3.5% Declining",AS53*AS77,AS53/((1+AS$78)^AS$4))</f>
        <v>0</v>
      </c>
      <c r="AT85" s="593">
        <f>IF('Data entry'!$H$5="3.5% Declining",AT53*AT77,AT53/((1+AT$78)^AT$4))</f>
        <v>0</v>
      </c>
      <c r="AU85" s="593">
        <f>IF('Data entry'!$H$5="3.5% Declining",AU53*AU77,AU53/((1+AU$78)^AU$4))</f>
        <v>0</v>
      </c>
      <c r="AV85" s="593">
        <f>IF('Data entry'!$H$5="3.5% Declining",AV53*AV77,AV53/((1+AV$78)^AV$4))</f>
        <v>0</v>
      </c>
      <c r="AW85" s="593">
        <f>IF('Data entry'!$H$5="3.5% Declining",AW53*AW77,AW53/((1+AW$78)^AW$4))</f>
        <v>0</v>
      </c>
      <c r="AX85" s="593">
        <f>IF('Data entry'!$H$5="3.5% Declining",AX53*AX77,AX53/((1+AX$78)^AX$4))</f>
        <v>0</v>
      </c>
      <c r="AY85" s="593">
        <f>IF('Data entry'!$H$5="3.5% Declining",AY53*AY77,AY53/((1+AY$78)^AY$4))</f>
        <v>0</v>
      </c>
      <c r="AZ85" s="593">
        <f>IF('Data entry'!$H$5="3.5% Declining",AZ53*AZ77,AZ53/((1+AZ$78)^AZ$4))</f>
        <v>0</v>
      </c>
      <c r="BA85" s="593">
        <f>IF('Data entry'!$H$5="3.5% Declining",BA53*BA77,BA53/((1+BA$78)^BA$4))</f>
        <v>0</v>
      </c>
      <c r="BB85" s="593">
        <f>IF('Data entry'!$H$5="3.5% Declining",BB53*BB77,BB53/((1+BB$78)^BB$4))</f>
        <v>0</v>
      </c>
      <c r="BC85" s="593">
        <f>IF('Data entry'!$H$5="3.5% Declining",BC53*BC77,BC53/((1+BC$78)^BC$4))</f>
        <v>0</v>
      </c>
      <c r="BD85" s="593">
        <f>IF('Data entry'!$H$5="3.5% Declining",BD53*BD77,BD53/((1+BD$78)^BD$4))</f>
        <v>0</v>
      </c>
      <c r="BE85" s="593">
        <f>IF('Data entry'!$H$5="3.5% Declining",BE53*BE77,BE53/((1+BE$78)^BE$4))</f>
        <v>0</v>
      </c>
      <c r="BF85" s="593">
        <f>IF('Data entry'!$H$5="3.5% Declining",BF53*BF77,BF53/((1+BF$78)^BF$4))</f>
        <v>0</v>
      </c>
      <c r="BG85" s="593">
        <f>IF('Data entry'!$H$5="3.5% Declining",BG53*BG77,BG53/((1+BG$78)^BG$4))</f>
        <v>0</v>
      </c>
      <c r="BH85" s="593">
        <f>IF('Data entry'!$H$5="3.5% Declining",BH53*BH77,BH53/((1+BH$78)^BH$4))</f>
        <v>0</v>
      </c>
      <c r="BI85" s="593">
        <f>IF('Data entry'!$H$5="3.5% Declining",BI53*BI77,BI53/((1+BI$78)^BI$4))</f>
        <v>0</v>
      </c>
      <c r="BJ85" s="593">
        <f>IF('Data entry'!$H$5="3.5% Declining",BJ53*BJ77,BJ53/((1+BJ$78)^BJ$4))</f>
        <v>0</v>
      </c>
      <c r="BK85" s="594">
        <f>IF('Data entry'!$H$5="3.5% Declining",BK53*BK77,BK53/((1+BK$78)^BK$4))</f>
        <v>0</v>
      </c>
      <c r="BL85" s="593">
        <f>IF('Data entry'!$H$5="3.5% Declining",BL53*BL77,BL53/((1+BL$78)^BL$4))</f>
        <v>0</v>
      </c>
      <c r="BM85" s="593">
        <f>IF('Data entry'!$H$5="3.5% Declining",BM53*BM77,BM53/((1+BM$78)^BM$4))</f>
        <v>0</v>
      </c>
      <c r="BN85" s="593">
        <f>IF('Data entry'!$H$5="3.5% Declining",BN53*BN77,BN53/((1+BN$78)^BN$4))</f>
        <v>0</v>
      </c>
      <c r="BO85" s="593">
        <f>IF('Data entry'!$H$5="3.5% Declining",BO53*BO77,BO53/((1+BO$78)^BO$4))</f>
        <v>0</v>
      </c>
      <c r="BP85" s="593">
        <f>IF('Data entry'!$H$5="3.5% Declining",BP53*BP77,BP53/((1+BP$78)^BP$4))</f>
        <v>0</v>
      </c>
      <c r="BQ85" s="593">
        <f>IF('Data entry'!$H$5="3.5% Declining",BQ53*BQ77,BQ53/((1+BQ$78)^BQ$4))</f>
        <v>0</v>
      </c>
      <c r="BR85" s="593">
        <f>IF('Data entry'!$H$5="3.5% Declining",BR53*BR77,BR53/((1+BR$78)^BR$4))</f>
        <v>0</v>
      </c>
      <c r="BS85" s="593">
        <f>IF('Data entry'!$H$5="3.5% Declining",BS53*BS77,BS53/((1+BS$78)^BS$4))</f>
        <v>0</v>
      </c>
      <c r="BT85" s="593">
        <f>IF('Data entry'!$H$5="3.5% Declining",BT53*BT77,BT53/((1+BT$78)^BT$4))</f>
        <v>0</v>
      </c>
      <c r="BU85" s="593">
        <f>IF('Data entry'!$H$5="3.5% Declining",BU53*BU77,BU53/((1+BU$78)^BU$4))</f>
        <v>0</v>
      </c>
      <c r="BV85" s="593">
        <f>IF('Data entry'!$H$5="3.5% Declining",BV53*BV77,BV53/((1+BV$78)^BV$4))</f>
        <v>0</v>
      </c>
      <c r="BW85" s="593">
        <f>IF('Data entry'!$H$5="3.5% Declining",BW53*BW77,BW53/((1+BW$78)^BW$4))</f>
        <v>0</v>
      </c>
      <c r="BX85" s="593">
        <f>IF('Data entry'!$H$5="3.5% Declining",BX53*BX77,BX53/((1+BX$78)^BX$4))</f>
        <v>0</v>
      </c>
      <c r="BY85" s="593">
        <f>IF('Data entry'!$H$5="3.5% Declining",BY53*BY77,BY53/((1+BY$78)^BY$4))</f>
        <v>0</v>
      </c>
      <c r="BZ85" s="593">
        <f>IF('Data entry'!$H$5="3.5% Declining",BZ53*BZ77,BZ53/((1+BZ$78)^BZ$4))</f>
        <v>0</v>
      </c>
      <c r="CA85" s="594">
        <f>IF('Data entry'!$H$5="3.5% Declining",CA53*CA77,CA53/((1+CA$78)^CA$4))</f>
        <v>0</v>
      </c>
      <c r="CB85" s="593">
        <f>IF('Data entry'!$H$5="3.5% Declining",CB53*CB77,CB53/((1+CB$78)^CB$4))</f>
        <v>0</v>
      </c>
      <c r="CC85" s="593">
        <f>IF('Data entry'!$H$5="3.5% Declining",CC53*CC77,CC53/((1+CC$78)^CC$4))</f>
        <v>0</v>
      </c>
      <c r="CD85" s="593">
        <f>IF('Data entry'!$H$5="3.5% Declining",CD53*CD77,CD53/((1+CD$78)^CD$4))</f>
        <v>0</v>
      </c>
      <c r="CE85" s="593">
        <f>IF('Data entry'!$H$5="3.5% Declining",CE53*CE77,CE53/((1+CE$78)^CE$4))</f>
        <v>0</v>
      </c>
      <c r="CF85" s="593">
        <f>IF('Data entry'!$H$5="3.5% Declining",CF53*CF77,CF53/((1+CF$78)^CF$4))</f>
        <v>0</v>
      </c>
      <c r="CG85" s="593">
        <f>IF('Data entry'!$H$5="3.5% Declining",CG53*CG77,CG53/((1+CG$78)^CG$4))</f>
        <v>0</v>
      </c>
      <c r="CH85" s="593">
        <f>IF('Data entry'!$H$5="3.5% Declining",CH53*CH77,CH53/((1+CH$78)^CH$4))</f>
        <v>0</v>
      </c>
      <c r="CI85" s="593">
        <f>IF('Data entry'!$H$5="3.5% Declining",CI53*CI77,CI53/((1+CI$78)^CI$4))</f>
        <v>0</v>
      </c>
      <c r="CJ85" s="593">
        <f>IF('Data entry'!$H$5="3.5% Declining",CJ53*CJ77,CJ53/((1+CJ$78)^CJ$4))</f>
        <v>0</v>
      </c>
      <c r="CK85" s="593">
        <f>IF('Data entry'!$H$5="3.5% Declining",CK53*CK77,CK53/((1+CK$78)^CK$4))</f>
        <v>0</v>
      </c>
      <c r="CL85" s="593">
        <f>IF('Data entry'!$H$5="3.5% Declining",CL53*CL77,CL53/((1+CL$78)^CL$4))</f>
        <v>0</v>
      </c>
      <c r="CM85" s="593">
        <f>IF('Data entry'!$H$5="3.5% Declining",CM53*CM77,CM53/((1+CM$78)^CM$4))</f>
        <v>0</v>
      </c>
      <c r="CN85" s="593">
        <f>IF('Data entry'!$H$5="3.5% Declining",CN53*CN77,CN53/((1+CN$78)^CN$4))</f>
        <v>0</v>
      </c>
      <c r="CO85" s="593">
        <f>IF('Data entry'!$H$5="3.5% Declining",CO53*CO77,CO53/((1+CO$78)^CO$4))</f>
        <v>0</v>
      </c>
      <c r="CP85" s="593">
        <f>IF('Data entry'!$H$5="3.5% Declining",CP53*CP77,CP53/((1+CP$78)^CP$4))</f>
        <v>0</v>
      </c>
      <c r="CQ85" s="593">
        <f>IF('Data entry'!$H$5="3.5% Declining",CQ53*CQ77,CQ53/((1+CQ$78)^CQ$4))</f>
        <v>0</v>
      </c>
      <c r="CR85" s="593">
        <f>IF('Data entry'!$H$5="3.5% Declining",CR53*CR77,CR53/((1+CR$78)^CR$4))</f>
        <v>0</v>
      </c>
      <c r="CS85" s="593">
        <f>IF('Data entry'!$H$5="3.5% Declining",CS53*CS77,CS53/((1+CS$78)^CS$4))</f>
        <v>0</v>
      </c>
      <c r="CT85" s="593">
        <f>IF('Data entry'!$H$5="3.5% Declining",CT53*CT77,CT53/((1+CT$78)^CT$4))</f>
        <v>0</v>
      </c>
      <c r="CU85" s="593">
        <f>IF('Data entry'!$H$5="3.5% Declining",CU53*CU77,CU53/((1+CU$78)^CU$4))</f>
        <v>0</v>
      </c>
      <c r="CV85" s="593">
        <f>IF('Data entry'!$H$5="3.5% Declining",CV53*CV77,CV53/((1+CV$78)^CV$4))</f>
        <v>0</v>
      </c>
      <c r="CW85" s="593">
        <f>IF('Data entry'!$H$5="3.5% Declining",CW53*CW77,CW53/((1+CW$78)^CW$4))</f>
        <v>0</v>
      </c>
      <c r="CX85" s="593">
        <f>IF('Data entry'!$H$5="3.5% Declining",CX53*CX77,CX53/((1+CX$78)^CX$4))</f>
        <v>0</v>
      </c>
      <c r="CY85" s="595">
        <f>IF('Data entry'!$H$5="3.5% Declining",CY53*CY77,CY53/((1+CY$78)^CY$4))</f>
        <v>0</v>
      </c>
    </row>
    <row r="86" spans="1:103" ht="15" customHeight="1" x14ac:dyDescent="0.35">
      <c r="A86" s="590" t="s">
        <v>572</v>
      </c>
      <c r="B86" s="591"/>
      <c r="C86" s="592">
        <f t="shared" si="43"/>
        <v>0</v>
      </c>
      <c r="D86" s="593">
        <f>IF('Data entry'!$H$5="3.5% Declining",D54*D77,D54/((1+D$78)^D$4))</f>
        <v>0</v>
      </c>
      <c r="E86" s="593">
        <f>IF('Data entry'!$H$5="3.5% Declining",E54*E77,E54/((1+E$78)^E$4))</f>
        <v>0</v>
      </c>
      <c r="F86" s="593">
        <f>IF('Data entry'!$H$5="3.5% Declining",F54*F77,F54/((1+F$78)^F$4))</f>
        <v>0</v>
      </c>
      <c r="G86" s="593">
        <f>IF('Data entry'!$H$5="3.5% Declining",G54*G77,G54/((1+G$78)^G$4))</f>
        <v>0</v>
      </c>
      <c r="H86" s="593">
        <f>IF('Data entry'!$H$5="3.5% Declining",H54*H77,H54/((1+H$78)^H$4))</f>
        <v>0</v>
      </c>
      <c r="I86" s="593">
        <f>IF('Data entry'!$H$5="3.5% Declining",I54*I77,I54/((1+I$78)^I$4))</f>
        <v>0</v>
      </c>
      <c r="J86" s="593">
        <f>IF('Data entry'!$H$5="3.5% Declining",J54*J77,J54/((1+J$78)^J$4))</f>
        <v>0</v>
      </c>
      <c r="K86" s="593">
        <f>IF('Data entry'!$H$5="3.5% Declining",K54*K77,K54/((1+K$78)^K$4))</f>
        <v>0</v>
      </c>
      <c r="L86" s="593">
        <f>IF('Data entry'!$H$5="3.5% Declining",L54*L77,L54/((1+L$78)^L$4))</f>
        <v>0</v>
      </c>
      <c r="M86" s="593">
        <f>IF('Data entry'!$H$5="3.5% Declining",M54*M77,M54/((1+M$78)^M$4))</f>
        <v>0</v>
      </c>
      <c r="N86" s="593">
        <f>IF('Data entry'!$H$5="3.5% Declining",N54*N77,N54/((1+N$78)^N$4))</f>
        <v>0</v>
      </c>
      <c r="O86" s="593">
        <f>IF('Data entry'!$H$5="3.5% Declining",O54*O77,O54/((1+O$78)^O$4))</f>
        <v>0</v>
      </c>
      <c r="P86" s="593">
        <f>IF('Data entry'!$H$5="3.5% Declining",P54*P77,P54/((1+P$78)^P$4))</f>
        <v>0</v>
      </c>
      <c r="Q86" s="593">
        <f>IF('Data entry'!$H$5="3.5% Declining",Q54*Q77,Q54/((1+Q$78)^Q$4))</f>
        <v>0</v>
      </c>
      <c r="R86" s="593">
        <f>IF('Data entry'!$H$5="3.5% Declining",R54*R77,R54/((1+R$78)^R$4))</f>
        <v>0</v>
      </c>
      <c r="S86" s="593">
        <f>IF('Data entry'!$H$5="3.5% Declining",S54*S77,S54/((1+S$78)^S$4))</f>
        <v>0</v>
      </c>
      <c r="T86" s="593">
        <f>IF('Data entry'!$H$5="3.5% Declining",T54*T77,T54/((1+T$78)^T$4))</f>
        <v>0</v>
      </c>
      <c r="U86" s="593">
        <f>IF('Data entry'!$H$5="3.5% Declining",U54*U77,U54/((1+U$78)^U$4))</f>
        <v>0</v>
      </c>
      <c r="V86" s="593">
        <f>IF('Data entry'!$H$5="3.5% Declining",V54*V77,V54/((1+V$78)^V$4))</f>
        <v>0</v>
      </c>
      <c r="W86" s="593">
        <f>IF('Data entry'!$H$5="3.5% Declining",W54*W77,W54/((1+W$78)^W$4))</f>
        <v>0</v>
      </c>
      <c r="X86" s="593">
        <f>IF('Data entry'!$H$5="3.5% Declining",X54*X77,X54/((1+X$78)^X$4))</f>
        <v>0</v>
      </c>
      <c r="Y86" s="593">
        <f>IF('Data entry'!$H$5="3.5% Declining",Y54*Y77,Y54/((1+Y$78)^Y$4))</f>
        <v>0</v>
      </c>
      <c r="Z86" s="593">
        <f>IF('Data entry'!$H$5="3.5% Declining",Z54*Z77,Z54/((1+Z$78)^Z$4))</f>
        <v>0</v>
      </c>
      <c r="AA86" s="593">
        <f>IF('Data entry'!$H$5="3.5% Declining",AA54*AA77,AA54/((1+AA$78)^AA$4))</f>
        <v>0</v>
      </c>
      <c r="AB86" s="593">
        <f>IF('Data entry'!$H$5="3.5% Declining",AB54*AB77,AB54/((1+AB$78)^AB$4))</f>
        <v>0</v>
      </c>
      <c r="AC86" s="593">
        <f>IF('Data entry'!$H$5="3.5% Declining",AC54*AC77,AC54/((1+AC$78)^AC$4))</f>
        <v>0</v>
      </c>
      <c r="AD86" s="593">
        <f>IF('Data entry'!$H$5="3.5% Declining",AD54*AD77,AD54/((1+AD$78)^AD$4))</f>
        <v>0</v>
      </c>
      <c r="AE86" s="593">
        <f>IF('Data entry'!$H$5="3.5% Declining",AE54*AE77,AE54/((1+AE$78)^AE$4))</f>
        <v>0</v>
      </c>
      <c r="AF86" s="593">
        <f>IF('Data entry'!$H$5="3.5% Declining",AF54*AF77,AF54/((1+AF$78)^AF$4))</f>
        <v>0</v>
      </c>
      <c r="AG86" s="593">
        <f>IF('Data entry'!$H$5="3.5% Declining",AG54*AG77,AG54/((1+AG$78)^AG$4))</f>
        <v>0</v>
      </c>
      <c r="AH86" s="593">
        <f>IF('Data entry'!$H$5="3.5% Declining",AH54*AH77,AH54/((1+AH$78)^AH$4))</f>
        <v>0</v>
      </c>
      <c r="AI86" s="593">
        <f>IF('Data entry'!$H$5="3.5% Declining",AI54*AI77,AI54/((1+AI$78)^AI$4))</f>
        <v>0</v>
      </c>
      <c r="AJ86" s="593">
        <f>IF('Data entry'!$H$5="3.5% Declining",AJ54*AJ77,AJ54/((1+AJ$78)^AJ$4))</f>
        <v>0</v>
      </c>
      <c r="AK86" s="593">
        <f>IF('Data entry'!$H$5="3.5% Declining",AK54*AK77,AK54/((1+AK$78)^AK$4))</f>
        <v>0</v>
      </c>
      <c r="AL86" s="593">
        <f>IF('Data entry'!$H$5="3.5% Declining",AL54*AL77,AL54/((1+AL$78)^AL$4))</f>
        <v>0</v>
      </c>
      <c r="AM86" s="593">
        <f>IF('Data entry'!$H$5="3.5% Declining",AM54*AM77,AM54/((1+AM$78)^AM$4))</f>
        <v>0</v>
      </c>
      <c r="AN86" s="593">
        <f>IF('Data entry'!$H$5="3.5% Declining",AN54*AN77,AN54/((1+AN$78)^AN$4))</f>
        <v>0</v>
      </c>
      <c r="AO86" s="594">
        <f>IF('Data entry'!$H$5="3.5% Declining",AO54*AO77,AO54/((1+AO$78)^AO$4))</f>
        <v>0</v>
      </c>
      <c r="AP86" s="593">
        <f>IF('Data entry'!$H$5="3.5% Declining",AP54*AP77,AP54/((1+AP$78)^AP$4))</f>
        <v>0</v>
      </c>
      <c r="AQ86" s="593">
        <f>IF('Data entry'!$H$5="3.5% Declining",AQ54*AQ77,AQ54/((1+AQ$78)^AQ$4))</f>
        <v>0</v>
      </c>
      <c r="AR86" s="593">
        <f>IF('Data entry'!$H$5="3.5% Declining",AR54*AR77,AR54/((1+AR$78)^AR$4))</f>
        <v>0</v>
      </c>
      <c r="AS86" s="593">
        <f>IF('Data entry'!$H$5="3.5% Declining",AS54*AS77,AS54/((1+AS$78)^AS$4))</f>
        <v>0</v>
      </c>
      <c r="AT86" s="593">
        <f>IF('Data entry'!$H$5="3.5% Declining",AT54*AT77,AT54/((1+AT$78)^AT$4))</f>
        <v>0</v>
      </c>
      <c r="AU86" s="593">
        <f>IF('Data entry'!$H$5="3.5% Declining",AU54*AU77,AU54/((1+AU$78)^AU$4))</f>
        <v>0</v>
      </c>
      <c r="AV86" s="593">
        <f>IF('Data entry'!$H$5="3.5% Declining",AV54*AV77,AV54/((1+AV$78)^AV$4))</f>
        <v>0</v>
      </c>
      <c r="AW86" s="593">
        <f>IF('Data entry'!$H$5="3.5% Declining",AW54*AW77,AW54/((1+AW$78)^AW$4))</f>
        <v>0</v>
      </c>
      <c r="AX86" s="593">
        <f>IF('Data entry'!$H$5="3.5% Declining",AX54*AX77,AX54/((1+AX$78)^AX$4))</f>
        <v>0</v>
      </c>
      <c r="AY86" s="593">
        <f>IF('Data entry'!$H$5="3.5% Declining",AY54*AY77,AY54/((1+AY$78)^AY$4))</f>
        <v>0</v>
      </c>
      <c r="AZ86" s="593">
        <f>IF('Data entry'!$H$5="3.5% Declining",AZ54*AZ77,AZ54/((1+AZ$78)^AZ$4))</f>
        <v>0</v>
      </c>
      <c r="BA86" s="593">
        <f>IF('Data entry'!$H$5="3.5% Declining",BA54*BA77,BA54/((1+BA$78)^BA$4))</f>
        <v>0</v>
      </c>
      <c r="BB86" s="593">
        <f>IF('Data entry'!$H$5="3.5% Declining",BB54*BB77,BB54/((1+BB$78)^BB$4))</f>
        <v>0</v>
      </c>
      <c r="BC86" s="593">
        <f>IF('Data entry'!$H$5="3.5% Declining",BC54*BC77,BC54/((1+BC$78)^BC$4))</f>
        <v>0</v>
      </c>
      <c r="BD86" s="593">
        <f>IF('Data entry'!$H$5="3.5% Declining",BD54*BD77,BD54/((1+BD$78)^BD$4))</f>
        <v>0</v>
      </c>
      <c r="BE86" s="593">
        <f>IF('Data entry'!$H$5="3.5% Declining",BE54*BE77,BE54/((1+BE$78)^BE$4))</f>
        <v>0</v>
      </c>
      <c r="BF86" s="593">
        <f>IF('Data entry'!$H$5="3.5% Declining",BF54*BF77,BF54/((1+BF$78)^BF$4))</f>
        <v>0</v>
      </c>
      <c r="BG86" s="593">
        <f>IF('Data entry'!$H$5="3.5% Declining",BG54*BG77,BG54/((1+BG$78)^BG$4))</f>
        <v>0</v>
      </c>
      <c r="BH86" s="593">
        <f>IF('Data entry'!$H$5="3.5% Declining",BH54*BH77,BH54/((1+BH$78)^BH$4))</f>
        <v>0</v>
      </c>
      <c r="BI86" s="593">
        <f>IF('Data entry'!$H$5="3.5% Declining",BI54*BI77,BI54/((1+BI$78)^BI$4))</f>
        <v>0</v>
      </c>
      <c r="BJ86" s="593">
        <f>IF('Data entry'!$H$5="3.5% Declining",BJ54*BJ77,BJ54/((1+BJ$78)^BJ$4))</f>
        <v>0</v>
      </c>
      <c r="BK86" s="594">
        <f>IF('Data entry'!$H$5="3.5% Declining",BK54*BK77,BK54/((1+BK$78)^BK$4))</f>
        <v>0</v>
      </c>
      <c r="BL86" s="593">
        <f>IF('Data entry'!$H$5="3.5% Declining",BL54*BL77,BL54/((1+BL$78)^BL$4))</f>
        <v>0</v>
      </c>
      <c r="BM86" s="593">
        <f>IF('Data entry'!$H$5="3.5% Declining",BM54*BM77,BM54/((1+BM$78)^BM$4))</f>
        <v>0</v>
      </c>
      <c r="BN86" s="593">
        <f>IF('Data entry'!$H$5="3.5% Declining",BN54*BN77,BN54/((1+BN$78)^BN$4))</f>
        <v>0</v>
      </c>
      <c r="BO86" s="593">
        <f>IF('Data entry'!$H$5="3.5% Declining",BO54*BO77,BO54/((1+BO$78)^BO$4))</f>
        <v>0</v>
      </c>
      <c r="BP86" s="593">
        <f>IF('Data entry'!$H$5="3.5% Declining",BP54*BP77,BP54/((1+BP$78)^BP$4))</f>
        <v>0</v>
      </c>
      <c r="BQ86" s="593">
        <f>IF('Data entry'!$H$5="3.5% Declining",BQ54*BQ77,BQ54/((1+BQ$78)^BQ$4))</f>
        <v>0</v>
      </c>
      <c r="BR86" s="593">
        <f>IF('Data entry'!$H$5="3.5% Declining",BR54*BR77,BR54/((1+BR$78)^BR$4))</f>
        <v>0</v>
      </c>
      <c r="BS86" s="593">
        <f>IF('Data entry'!$H$5="3.5% Declining",BS54*BS77,BS54/((1+BS$78)^BS$4))</f>
        <v>0</v>
      </c>
      <c r="BT86" s="593">
        <f>IF('Data entry'!$H$5="3.5% Declining",BT54*BT77,BT54/((1+BT$78)^BT$4))</f>
        <v>0</v>
      </c>
      <c r="BU86" s="593">
        <f>IF('Data entry'!$H$5="3.5% Declining",BU54*BU77,BU54/((1+BU$78)^BU$4))</f>
        <v>0</v>
      </c>
      <c r="BV86" s="593">
        <f>IF('Data entry'!$H$5="3.5% Declining",BV54*BV77,BV54/((1+BV$78)^BV$4))</f>
        <v>0</v>
      </c>
      <c r="BW86" s="593">
        <f>IF('Data entry'!$H$5="3.5% Declining",BW54*BW77,BW54/((1+BW$78)^BW$4))</f>
        <v>0</v>
      </c>
      <c r="BX86" s="593">
        <f>IF('Data entry'!$H$5="3.5% Declining",BX54*BX77,BX54/((1+BX$78)^BX$4))</f>
        <v>0</v>
      </c>
      <c r="BY86" s="593">
        <f>IF('Data entry'!$H$5="3.5% Declining",BY54*BY77,BY54/((1+BY$78)^BY$4))</f>
        <v>0</v>
      </c>
      <c r="BZ86" s="593">
        <f>IF('Data entry'!$H$5="3.5% Declining",BZ54*BZ77,BZ54/((1+BZ$78)^BZ$4))</f>
        <v>0</v>
      </c>
      <c r="CA86" s="594">
        <f>IF('Data entry'!$H$5="3.5% Declining",CA54*CA77,CA54/((1+CA$78)^CA$4))</f>
        <v>0</v>
      </c>
      <c r="CB86" s="593">
        <f>IF('Data entry'!$H$5="3.5% Declining",CB54*CB77,CB54/((1+CB$78)^CB$4))</f>
        <v>0</v>
      </c>
      <c r="CC86" s="593">
        <f>IF('Data entry'!$H$5="3.5% Declining",CC54*CC77,CC54/((1+CC$78)^CC$4))</f>
        <v>0</v>
      </c>
      <c r="CD86" s="593">
        <f>IF('Data entry'!$H$5="3.5% Declining",CD54*CD77,CD54/((1+CD$78)^CD$4))</f>
        <v>0</v>
      </c>
      <c r="CE86" s="593">
        <f>IF('Data entry'!$H$5="3.5% Declining",CE54*CE77,CE54/((1+CE$78)^CE$4))</f>
        <v>0</v>
      </c>
      <c r="CF86" s="593">
        <f>IF('Data entry'!$H$5="3.5% Declining",CF54*CF77,CF54/((1+CF$78)^CF$4))</f>
        <v>0</v>
      </c>
      <c r="CG86" s="593">
        <f>IF('Data entry'!$H$5="3.5% Declining",CG54*CG77,CG54/((1+CG$78)^CG$4))</f>
        <v>0</v>
      </c>
      <c r="CH86" s="593">
        <f>IF('Data entry'!$H$5="3.5% Declining",CH54*CH77,CH54/((1+CH$78)^CH$4))</f>
        <v>0</v>
      </c>
      <c r="CI86" s="593">
        <f>IF('Data entry'!$H$5="3.5% Declining",CI54*CI77,CI54/((1+CI$78)^CI$4))</f>
        <v>0</v>
      </c>
      <c r="CJ86" s="593">
        <f>IF('Data entry'!$H$5="3.5% Declining",CJ54*CJ77,CJ54/((1+CJ$78)^CJ$4))</f>
        <v>0</v>
      </c>
      <c r="CK86" s="593">
        <f>IF('Data entry'!$H$5="3.5% Declining",CK54*CK77,CK54/((1+CK$78)^CK$4))</f>
        <v>0</v>
      </c>
      <c r="CL86" s="593">
        <f>IF('Data entry'!$H$5="3.5% Declining",CL54*CL77,CL54/((1+CL$78)^CL$4))</f>
        <v>0</v>
      </c>
      <c r="CM86" s="593">
        <f>IF('Data entry'!$H$5="3.5% Declining",CM54*CM77,CM54/((1+CM$78)^CM$4))</f>
        <v>0</v>
      </c>
      <c r="CN86" s="593">
        <f>IF('Data entry'!$H$5="3.5% Declining",CN54*CN77,CN54/((1+CN$78)^CN$4))</f>
        <v>0</v>
      </c>
      <c r="CO86" s="593">
        <f>IF('Data entry'!$H$5="3.5% Declining",CO54*CO77,CO54/((1+CO$78)^CO$4))</f>
        <v>0</v>
      </c>
      <c r="CP86" s="593">
        <f>IF('Data entry'!$H$5="3.5% Declining",CP54*CP77,CP54/((1+CP$78)^CP$4))</f>
        <v>0</v>
      </c>
      <c r="CQ86" s="593">
        <f>IF('Data entry'!$H$5="3.5% Declining",CQ54*CQ77,CQ54/((1+CQ$78)^CQ$4))</f>
        <v>0</v>
      </c>
      <c r="CR86" s="593">
        <f>IF('Data entry'!$H$5="3.5% Declining",CR54*CR77,CR54/((1+CR$78)^CR$4))</f>
        <v>0</v>
      </c>
      <c r="CS86" s="593">
        <f>IF('Data entry'!$H$5="3.5% Declining",CS54*CS77,CS54/((1+CS$78)^CS$4))</f>
        <v>0</v>
      </c>
      <c r="CT86" s="593">
        <f>IF('Data entry'!$H$5="3.5% Declining",CT54*CT77,CT54/((1+CT$78)^CT$4))</f>
        <v>0</v>
      </c>
      <c r="CU86" s="593">
        <f>IF('Data entry'!$H$5="3.5% Declining",CU54*CU77,CU54/((1+CU$78)^CU$4))</f>
        <v>0</v>
      </c>
      <c r="CV86" s="593">
        <f>IF('Data entry'!$H$5="3.5% Declining",CV54*CV77,CV54/((1+CV$78)^CV$4))</f>
        <v>0</v>
      </c>
      <c r="CW86" s="593">
        <f>IF('Data entry'!$H$5="3.5% Declining",CW54*CW77,CW54/((1+CW$78)^CW$4))</f>
        <v>0</v>
      </c>
      <c r="CX86" s="593">
        <f>IF('Data entry'!$H$5="3.5% Declining",CX54*CX77,CX54/((1+CX$78)^CX$4))</f>
        <v>0</v>
      </c>
      <c r="CY86" s="595">
        <f>IF('Data entry'!$H$5="3.5% Declining",CY54*CY77,CY54/((1+CY$78)^CY$4))</f>
        <v>0</v>
      </c>
    </row>
    <row r="87" spans="1:103" ht="15" customHeight="1" x14ac:dyDescent="0.35">
      <c r="A87" s="590" t="s">
        <v>573</v>
      </c>
      <c r="B87" s="591"/>
      <c r="C87" s="592">
        <f t="shared" si="43"/>
        <v>0</v>
      </c>
      <c r="D87" s="593">
        <f>IF('Data entry'!$H$5="3.5% Declining",D55*D77,D55/((1+D$78)^D$4))</f>
        <v>0</v>
      </c>
      <c r="E87" s="593">
        <f>IF('Data entry'!$H$5="3.5% Declining",E55*E77,E55/((1+E$78)^E$4))</f>
        <v>0</v>
      </c>
      <c r="F87" s="593">
        <f>IF('Data entry'!$H$5="3.5% Declining",F55*F77,F55/((1+F$78)^F$4))</f>
        <v>0</v>
      </c>
      <c r="G87" s="593">
        <f>IF('Data entry'!$H$5="3.5% Declining",G55*G77,G55/((1+G$78)^G$4))</f>
        <v>0</v>
      </c>
      <c r="H87" s="593">
        <f>IF('Data entry'!$H$5="3.5% Declining",H55*H77,H55/((1+H$78)^H$4))</f>
        <v>0</v>
      </c>
      <c r="I87" s="593">
        <f>IF('Data entry'!$H$5="3.5% Declining",I55*I77,I55/((1+I$78)^I$4))</f>
        <v>0</v>
      </c>
      <c r="J87" s="593">
        <f>IF('Data entry'!$H$5="3.5% Declining",J55*J77,J55/((1+J$78)^J$4))</f>
        <v>0</v>
      </c>
      <c r="K87" s="593">
        <f>IF('Data entry'!$H$5="3.5% Declining",K55*K77,K55/((1+K$78)^K$4))</f>
        <v>0</v>
      </c>
      <c r="L87" s="593">
        <f>IF('Data entry'!$H$5="3.5% Declining",L55*L77,L55/((1+L$78)^L$4))</f>
        <v>0</v>
      </c>
      <c r="M87" s="593">
        <f>IF('Data entry'!$H$5="3.5% Declining",M55*M77,M55/((1+M$78)^M$4))</f>
        <v>0</v>
      </c>
      <c r="N87" s="593">
        <f>IF('Data entry'!$H$5="3.5% Declining",N55*N77,N55/((1+N$78)^N$4))</f>
        <v>0</v>
      </c>
      <c r="O87" s="593">
        <f>IF('Data entry'!$H$5="3.5% Declining",O55*O77,O55/((1+O$78)^O$4))</f>
        <v>0</v>
      </c>
      <c r="P87" s="593">
        <f>IF('Data entry'!$H$5="3.5% Declining",P55*P77,P55/((1+P$78)^P$4))</f>
        <v>0</v>
      </c>
      <c r="Q87" s="593">
        <f>IF('Data entry'!$H$5="3.5% Declining",Q55*Q77,Q55/((1+Q$78)^Q$4))</f>
        <v>0</v>
      </c>
      <c r="R87" s="593">
        <f>IF('Data entry'!$H$5="3.5% Declining",R55*R77,R55/((1+R$78)^R$4))</f>
        <v>0</v>
      </c>
      <c r="S87" s="593">
        <f>IF('Data entry'!$H$5="3.5% Declining",S55*S77,S55/((1+S$78)^S$4))</f>
        <v>0</v>
      </c>
      <c r="T87" s="593">
        <f>IF('Data entry'!$H$5="3.5% Declining",T55*T77,T55/((1+T$78)^T$4))</f>
        <v>0</v>
      </c>
      <c r="U87" s="593">
        <f>IF('Data entry'!$H$5="3.5% Declining",U55*U77,U55/((1+U$78)^U$4))</f>
        <v>0</v>
      </c>
      <c r="V87" s="593">
        <f>IF('Data entry'!$H$5="3.5% Declining",V55*V77,V55/((1+V$78)^V$4))</f>
        <v>0</v>
      </c>
      <c r="W87" s="593">
        <f>IF('Data entry'!$H$5="3.5% Declining",W55*W77,W55/((1+W$78)^W$4))</f>
        <v>0</v>
      </c>
      <c r="X87" s="593">
        <f>IF('Data entry'!$H$5="3.5% Declining",X55*X77,X55/((1+X$78)^X$4))</f>
        <v>0</v>
      </c>
      <c r="Y87" s="593">
        <f>IF('Data entry'!$H$5="3.5% Declining",Y55*Y77,Y55/((1+Y$78)^Y$4))</f>
        <v>0</v>
      </c>
      <c r="Z87" s="593">
        <f>IF('Data entry'!$H$5="3.5% Declining",Z55*Z77,Z55/((1+Z$78)^Z$4))</f>
        <v>0</v>
      </c>
      <c r="AA87" s="593">
        <f>IF('Data entry'!$H$5="3.5% Declining",AA55*AA77,AA55/((1+AA$78)^AA$4))</f>
        <v>0</v>
      </c>
      <c r="AB87" s="593">
        <f>IF('Data entry'!$H$5="3.5% Declining",AB55*AB77,AB55/((1+AB$78)^AB$4))</f>
        <v>0</v>
      </c>
      <c r="AC87" s="593">
        <f>IF('Data entry'!$H$5="3.5% Declining",AC55*AC77,AC55/((1+AC$78)^AC$4))</f>
        <v>0</v>
      </c>
      <c r="AD87" s="593">
        <f>IF('Data entry'!$H$5="3.5% Declining",AD55*AD77,AD55/((1+AD$78)^AD$4))</f>
        <v>0</v>
      </c>
      <c r="AE87" s="593">
        <f>IF('Data entry'!$H$5="3.5% Declining",AE55*AE77,AE55/((1+AE$78)^AE$4))</f>
        <v>0</v>
      </c>
      <c r="AF87" s="593">
        <f>IF('Data entry'!$H$5="3.5% Declining",AF55*AF77,AF55/((1+AF$78)^AF$4))</f>
        <v>0</v>
      </c>
      <c r="AG87" s="593">
        <f>IF('Data entry'!$H$5="3.5% Declining",AG55*AG77,AG55/((1+AG$78)^AG$4))</f>
        <v>0</v>
      </c>
      <c r="AH87" s="593">
        <f>IF('Data entry'!$H$5="3.5% Declining",AH55*AH77,AH55/((1+AH$78)^AH$4))</f>
        <v>0</v>
      </c>
      <c r="AI87" s="593">
        <f>IF('Data entry'!$H$5="3.5% Declining",AI55*AI77,AI55/((1+AI$78)^AI$4))</f>
        <v>0</v>
      </c>
      <c r="AJ87" s="593">
        <f>IF('Data entry'!$H$5="3.5% Declining",AJ55*AJ77,AJ55/((1+AJ$78)^AJ$4))</f>
        <v>0</v>
      </c>
      <c r="AK87" s="593">
        <f>IF('Data entry'!$H$5="3.5% Declining",AK55*AK77,AK55/((1+AK$78)^AK$4))</f>
        <v>0</v>
      </c>
      <c r="AL87" s="593">
        <f>IF('Data entry'!$H$5="3.5% Declining",AL55*AL77,AL55/((1+AL$78)^AL$4))</f>
        <v>0</v>
      </c>
      <c r="AM87" s="593">
        <f>IF('Data entry'!$H$5="3.5% Declining",AM55*AM77,AM55/((1+AM$78)^AM$4))</f>
        <v>0</v>
      </c>
      <c r="AN87" s="593">
        <f>IF('Data entry'!$H$5="3.5% Declining",AN55*AN77,AN55/((1+AN$78)^AN$4))</f>
        <v>0</v>
      </c>
      <c r="AO87" s="594">
        <f>IF('Data entry'!$H$5="3.5% Declining",AO55*AO77,AO55/((1+AO$78)^AO$4))</f>
        <v>0</v>
      </c>
      <c r="AP87" s="593">
        <f>IF('Data entry'!$H$5="3.5% Declining",AP55*AP77,AP55/((1+AP$78)^AP$4))</f>
        <v>0</v>
      </c>
      <c r="AQ87" s="593">
        <f>IF('Data entry'!$H$5="3.5% Declining",AQ55*AQ77,AQ55/((1+AQ$78)^AQ$4))</f>
        <v>0</v>
      </c>
      <c r="AR87" s="593">
        <f>IF('Data entry'!$H$5="3.5% Declining",AR55*AR77,AR55/((1+AR$78)^AR$4))</f>
        <v>0</v>
      </c>
      <c r="AS87" s="593">
        <f>IF('Data entry'!$H$5="3.5% Declining",AS55*AS77,AS55/((1+AS$78)^AS$4))</f>
        <v>0</v>
      </c>
      <c r="AT87" s="593">
        <f>IF('Data entry'!$H$5="3.5% Declining",AT55*AT77,AT55/((1+AT$78)^AT$4))</f>
        <v>0</v>
      </c>
      <c r="AU87" s="593">
        <f>IF('Data entry'!$H$5="3.5% Declining",AU55*AU77,AU55/((1+AU$78)^AU$4))</f>
        <v>0</v>
      </c>
      <c r="AV87" s="593">
        <f>IF('Data entry'!$H$5="3.5% Declining",AV55*AV77,AV55/((1+AV$78)^AV$4))</f>
        <v>0</v>
      </c>
      <c r="AW87" s="593">
        <f>IF('Data entry'!$H$5="3.5% Declining",AW55*AW77,AW55/((1+AW$78)^AW$4))</f>
        <v>0</v>
      </c>
      <c r="AX87" s="593">
        <f>IF('Data entry'!$H$5="3.5% Declining",AX55*AX77,AX55/((1+AX$78)^AX$4))</f>
        <v>0</v>
      </c>
      <c r="AY87" s="593">
        <f>IF('Data entry'!$H$5="3.5% Declining",AY55*AY77,AY55/((1+AY$78)^AY$4))</f>
        <v>0</v>
      </c>
      <c r="AZ87" s="593">
        <f>IF('Data entry'!$H$5="3.5% Declining",AZ55*AZ77,AZ55/((1+AZ$78)^AZ$4))</f>
        <v>0</v>
      </c>
      <c r="BA87" s="593">
        <f>IF('Data entry'!$H$5="3.5% Declining",BA55*BA77,BA55/((1+BA$78)^BA$4))</f>
        <v>0</v>
      </c>
      <c r="BB87" s="593">
        <f>IF('Data entry'!$H$5="3.5% Declining",BB55*BB77,BB55/((1+BB$78)^BB$4))</f>
        <v>0</v>
      </c>
      <c r="BC87" s="593">
        <f>IF('Data entry'!$H$5="3.5% Declining",BC55*BC77,BC55/((1+BC$78)^BC$4))</f>
        <v>0</v>
      </c>
      <c r="BD87" s="593">
        <f>IF('Data entry'!$H$5="3.5% Declining",BD55*BD77,BD55/((1+BD$78)^BD$4))</f>
        <v>0</v>
      </c>
      <c r="BE87" s="593">
        <f>IF('Data entry'!$H$5="3.5% Declining",BE55*BE77,BE55/((1+BE$78)^BE$4))</f>
        <v>0</v>
      </c>
      <c r="BF87" s="593">
        <f>IF('Data entry'!$H$5="3.5% Declining",BF55*BF77,BF55/((1+BF$78)^BF$4))</f>
        <v>0</v>
      </c>
      <c r="BG87" s="593">
        <f>IF('Data entry'!$H$5="3.5% Declining",BG55*BG77,BG55/((1+BG$78)^BG$4))</f>
        <v>0</v>
      </c>
      <c r="BH87" s="593">
        <f>IF('Data entry'!$H$5="3.5% Declining",BH55*BH77,BH55/((1+BH$78)^BH$4))</f>
        <v>0</v>
      </c>
      <c r="BI87" s="593">
        <f>IF('Data entry'!$H$5="3.5% Declining",BI55*BI77,BI55/((1+BI$78)^BI$4))</f>
        <v>0</v>
      </c>
      <c r="BJ87" s="593">
        <f>IF('Data entry'!$H$5="3.5% Declining",BJ55*BJ77,BJ55/((1+BJ$78)^BJ$4))</f>
        <v>0</v>
      </c>
      <c r="BK87" s="594">
        <f>IF('Data entry'!$H$5="3.5% Declining",BK55*BK77,BK55/((1+BK$78)^BK$4))</f>
        <v>0</v>
      </c>
      <c r="BL87" s="593">
        <f>IF('Data entry'!$H$5="3.5% Declining",BL55*BL77,BL55/((1+BL$78)^BL$4))</f>
        <v>0</v>
      </c>
      <c r="BM87" s="593">
        <f>IF('Data entry'!$H$5="3.5% Declining",BM55*BM77,BM55/((1+BM$78)^BM$4))</f>
        <v>0</v>
      </c>
      <c r="BN87" s="593">
        <f>IF('Data entry'!$H$5="3.5% Declining",BN55*BN77,BN55/((1+BN$78)^BN$4))</f>
        <v>0</v>
      </c>
      <c r="BO87" s="593">
        <f>IF('Data entry'!$H$5="3.5% Declining",BO55*BO77,BO55/((1+BO$78)^BO$4))</f>
        <v>0</v>
      </c>
      <c r="BP87" s="593">
        <f>IF('Data entry'!$H$5="3.5% Declining",BP55*BP77,BP55/((1+BP$78)^BP$4))</f>
        <v>0</v>
      </c>
      <c r="BQ87" s="593">
        <f>IF('Data entry'!$H$5="3.5% Declining",BQ55*BQ77,BQ55/((1+BQ$78)^BQ$4))</f>
        <v>0</v>
      </c>
      <c r="BR87" s="593">
        <f>IF('Data entry'!$H$5="3.5% Declining",BR55*BR77,BR55/((1+BR$78)^BR$4))</f>
        <v>0</v>
      </c>
      <c r="BS87" s="593">
        <f>IF('Data entry'!$H$5="3.5% Declining",BS55*BS77,BS55/((1+BS$78)^BS$4))</f>
        <v>0</v>
      </c>
      <c r="BT87" s="593">
        <f>IF('Data entry'!$H$5="3.5% Declining",BT55*BT77,BT55/((1+BT$78)^BT$4))</f>
        <v>0</v>
      </c>
      <c r="BU87" s="593">
        <f>IF('Data entry'!$H$5="3.5% Declining",BU55*BU77,BU55/((1+BU$78)^BU$4))</f>
        <v>0</v>
      </c>
      <c r="BV87" s="593">
        <f>IF('Data entry'!$H$5="3.5% Declining",BV55*BV77,BV55/((1+BV$78)^BV$4))</f>
        <v>0</v>
      </c>
      <c r="BW87" s="593">
        <f>IF('Data entry'!$H$5="3.5% Declining",BW55*BW77,BW55/((1+BW$78)^BW$4))</f>
        <v>0</v>
      </c>
      <c r="BX87" s="593">
        <f>IF('Data entry'!$H$5="3.5% Declining",BX55*BX77,BX55/((1+BX$78)^BX$4))</f>
        <v>0</v>
      </c>
      <c r="BY87" s="593">
        <f>IF('Data entry'!$H$5="3.5% Declining",BY55*BY77,BY55/((1+BY$78)^BY$4))</f>
        <v>0</v>
      </c>
      <c r="BZ87" s="593">
        <f>IF('Data entry'!$H$5="3.5% Declining",BZ55*BZ77,BZ55/((1+BZ$78)^BZ$4))</f>
        <v>0</v>
      </c>
      <c r="CA87" s="594">
        <f>IF('Data entry'!$H$5="3.5% Declining",CA55*CA77,CA55/((1+CA$78)^CA$4))</f>
        <v>0</v>
      </c>
      <c r="CB87" s="593">
        <f>IF('Data entry'!$H$5="3.5% Declining",CB55*CB77,CB55/((1+CB$78)^CB$4))</f>
        <v>0</v>
      </c>
      <c r="CC87" s="593">
        <f>IF('Data entry'!$H$5="3.5% Declining",CC55*CC77,CC55/((1+CC$78)^CC$4))</f>
        <v>0</v>
      </c>
      <c r="CD87" s="593">
        <f>IF('Data entry'!$H$5="3.5% Declining",CD55*CD77,CD55/((1+CD$78)^CD$4))</f>
        <v>0</v>
      </c>
      <c r="CE87" s="593">
        <f>IF('Data entry'!$H$5="3.5% Declining",CE55*CE77,CE55/((1+CE$78)^CE$4))</f>
        <v>0</v>
      </c>
      <c r="CF87" s="593">
        <f>IF('Data entry'!$H$5="3.5% Declining",CF55*CF77,CF55/((1+CF$78)^CF$4))</f>
        <v>0</v>
      </c>
      <c r="CG87" s="593">
        <f>IF('Data entry'!$H$5="3.5% Declining",CG55*CG77,CG55/((1+CG$78)^CG$4))</f>
        <v>0</v>
      </c>
      <c r="CH87" s="593">
        <f>IF('Data entry'!$H$5="3.5% Declining",CH55*CH77,CH55/((1+CH$78)^CH$4))</f>
        <v>0</v>
      </c>
      <c r="CI87" s="593">
        <f>IF('Data entry'!$H$5="3.5% Declining",CI55*CI77,CI55/((1+CI$78)^CI$4))</f>
        <v>0</v>
      </c>
      <c r="CJ87" s="593">
        <f>IF('Data entry'!$H$5="3.5% Declining",CJ55*CJ77,CJ55/((1+CJ$78)^CJ$4))</f>
        <v>0</v>
      </c>
      <c r="CK87" s="593">
        <f>IF('Data entry'!$H$5="3.5% Declining",CK55*CK77,CK55/((1+CK$78)^CK$4))</f>
        <v>0</v>
      </c>
      <c r="CL87" s="593">
        <f>IF('Data entry'!$H$5="3.5% Declining",CL55*CL77,CL55/((1+CL$78)^CL$4))</f>
        <v>0</v>
      </c>
      <c r="CM87" s="593">
        <f>IF('Data entry'!$H$5="3.5% Declining",CM55*CM77,CM55/((1+CM$78)^CM$4))</f>
        <v>0</v>
      </c>
      <c r="CN87" s="593">
        <f>IF('Data entry'!$H$5="3.5% Declining",CN55*CN77,CN55/((1+CN$78)^CN$4))</f>
        <v>0</v>
      </c>
      <c r="CO87" s="593">
        <f>IF('Data entry'!$H$5="3.5% Declining",CO55*CO77,CO55/((1+CO$78)^CO$4))</f>
        <v>0</v>
      </c>
      <c r="CP87" s="593">
        <f>IF('Data entry'!$H$5="3.5% Declining",CP55*CP77,CP55/((1+CP$78)^CP$4))</f>
        <v>0</v>
      </c>
      <c r="CQ87" s="593">
        <f>IF('Data entry'!$H$5="3.5% Declining",CQ55*CQ77,CQ55/((1+CQ$78)^CQ$4))</f>
        <v>0</v>
      </c>
      <c r="CR87" s="593">
        <f>IF('Data entry'!$H$5="3.5% Declining",CR55*CR77,CR55/((1+CR$78)^CR$4))</f>
        <v>0</v>
      </c>
      <c r="CS87" s="593">
        <f>IF('Data entry'!$H$5="3.5% Declining",CS55*CS77,CS55/((1+CS$78)^CS$4))</f>
        <v>0</v>
      </c>
      <c r="CT87" s="593">
        <f>IF('Data entry'!$H$5="3.5% Declining",CT55*CT77,CT55/((1+CT$78)^CT$4))</f>
        <v>0</v>
      </c>
      <c r="CU87" s="593">
        <f>IF('Data entry'!$H$5="3.5% Declining",CU55*CU77,CU55/((1+CU$78)^CU$4))</f>
        <v>0</v>
      </c>
      <c r="CV87" s="593">
        <f>IF('Data entry'!$H$5="3.5% Declining",CV55*CV77,CV55/((1+CV$78)^CV$4))</f>
        <v>0</v>
      </c>
      <c r="CW87" s="593">
        <f>IF('Data entry'!$H$5="3.5% Declining",CW55*CW77,CW55/((1+CW$78)^CW$4))</f>
        <v>0</v>
      </c>
      <c r="CX87" s="593">
        <f>IF('Data entry'!$H$5="3.5% Declining",CX55*CX77,CX55/((1+CX$78)^CX$4))</f>
        <v>0</v>
      </c>
      <c r="CY87" s="595">
        <f>IF('Data entry'!$H$5="3.5% Declining",CY55*CY77,CY55/((1+CY$78)^CY$4))</f>
        <v>0</v>
      </c>
    </row>
    <row r="88" spans="1:103" ht="15.5" x14ac:dyDescent="0.35">
      <c r="A88" s="590" t="str">
        <f t="shared" ref="A88:A93" si="44">CONCATENATE("Discounted ",B56)</f>
        <v>Discounted Other regular payments/sponsorships/donations (specify)</v>
      </c>
      <c r="B88" s="596"/>
      <c r="C88" s="592">
        <f t="shared" si="43"/>
        <v>0</v>
      </c>
      <c r="D88" s="593">
        <f>IF('Data entry'!$H$5="3.5% Declining",D56*D77,D56/((1+D$78)^D$4))</f>
        <v>0</v>
      </c>
      <c r="E88" s="593">
        <f>IF('Data entry'!$H$5="3.5% Declining",E56*E77,E56/((1+E$78)^E$4))</f>
        <v>0</v>
      </c>
      <c r="F88" s="593">
        <f>IF('Data entry'!$H$5="3.5% Declining",F56*F77,F56/((1+F$78)^F$4))</f>
        <v>0</v>
      </c>
      <c r="G88" s="593">
        <f>IF('Data entry'!$H$5="3.5% Declining",G56*G77,G56/((1+G$78)^G$4))</f>
        <v>0</v>
      </c>
      <c r="H88" s="593">
        <f>IF('Data entry'!$H$5="3.5% Declining",H56*H77,H56/((1+H$78)^H$4))</f>
        <v>0</v>
      </c>
      <c r="I88" s="593">
        <f>IF('Data entry'!$H$5="3.5% Declining",I56*I77,I56/((1+I$78)^I$4))</f>
        <v>0</v>
      </c>
      <c r="J88" s="593">
        <f>IF('Data entry'!$H$5="3.5% Declining",J56*J77,J56/((1+J$78)^J$4))</f>
        <v>0</v>
      </c>
      <c r="K88" s="593">
        <f>IF('Data entry'!$H$5="3.5% Declining",K56*K77,K56/((1+K$78)^K$4))</f>
        <v>0</v>
      </c>
      <c r="L88" s="593">
        <f>IF('Data entry'!$H$5="3.5% Declining",L56*L77,L56/((1+L$78)^L$4))</f>
        <v>0</v>
      </c>
      <c r="M88" s="593">
        <f>IF('Data entry'!$H$5="3.5% Declining",M56*M77,M56/((1+M$78)^M$4))</f>
        <v>0</v>
      </c>
      <c r="N88" s="593">
        <f>IF('Data entry'!$H$5="3.5% Declining",N56*N77,N56/((1+N$78)^N$4))</f>
        <v>0</v>
      </c>
      <c r="O88" s="593">
        <f>IF('Data entry'!$H$5="3.5% Declining",O56*O77,O56/((1+O$78)^O$4))</f>
        <v>0</v>
      </c>
      <c r="P88" s="593">
        <f>IF('Data entry'!$H$5="3.5% Declining",P56*P77,P56/((1+P$78)^P$4))</f>
        <v>0</v>
      </c>
      <c r="Q88" s="593">
        <f>IF('Data entry'!$H$5="3.5% Declining",Q56*Q77,Q56/((1+Q$78)^Q$4))</f>
        <v>0</v>
      </c>
      <c r="R88" s="593">
        <f>IF('Data entry'!$H$5="3.5% Declining",R56*R77,R56/((1+R$78)^R$4))</f>
        <v>0</v>
      </c>
      <c r="S88" s="593">
        <f>IF('Data entry'!$H$5="3.5% Declining",S56*S77,S56/((1+S$78)^S$4))</f>
        <v>0</v>
      </c>
      <c r="T88" s="593">
        <f>IF('Data entry'!$H$5="3.5% Declining",T56*T77,T56/((1+T$78)^T$4))</f>
        <v>0</v>
      </c>
      <c r="U88" s="593">
        <f>IF('Data entry'!$H$5="3.5% Declining",U56*U77,U56/((1+U$78)^U$4))</f>
        <v>0</v>
      </c>
      <c r="V88" s="593">
        <f>IF('Data entry'!$H$5="3.5% Declining",V56*V77,V56/((1+V$78)^V$4))</f>
        <v>0</v>
      </c>
      <c r="W88" s="593">
        <f>IF('Data entry'!$H$5="3.5% Declining",W56*W77,W56/((1+W$78)^W$4))</f>
        <v>0</v>
      </c>
      <c r="X88" s="593">
        <f>IF('Data entry'!$H$5="3.5% Declining",X56*X77,X56/((1+X$78)^X$4))</f>
        <v>0</v>
      </c>
      <c r="Y88" s="593">
        <f>IF('Data entry'!$H$5="3.5% Declining",Y56*Y77,Y56/((1+Y$78)^Y$4))</f>
        <v>0</v>
      </c>
      <c r="Z88" s="593">
        <f>IF('Data entry'!$H$5="3.5% Declining",Z56*Z77,Z56/((1+Z$78)^Z$4))</f>
        <v>0</v>
      </c>
      <c r="AA88" s="593">
        <f>IF('Data entry'!$H$5="3.5% Declining",AA56*AA77,AA56/((1+AA$78)^AA$4))</f>
        <v>0</v>
      </c>
      <c r="AB88" s="593">
        <f>IF('Data entry'!$H$5="3.5% Declining",AB56*AB77,AB56/((1+AB$78)^AB$4))</f>
        <v>0</v>
      </c>
      <c r="AC88" s="593">
        <f>IF('Data entry'!$H$5="3.5% Declining",AC56*AC77,AC56/((1+AC$78)^AC$4))</f>
        <v>0</v>
      </c>
      <c r="AD88" s="593">
        <f>IF('Data entry'!$H$5="3.5% Declining",AD56*AD77,AD56/((1+AD$78)^AD$4))</f>
        <v>0</v>
      </c>
      <c r="AE88" s="593">
        <f>IF('Data entry'!$H$5="3.5% Declining",AE56*AE77,AE56/((1+AE$78)^AE$4))</f>
        <v>0</v>
      </c>
      <c r="AF88" s="593">
        <f>IF('Data entry'!$H$5="3.5% Declining",AF56*AF77,AF56/((1+AF$78)^AF$4))</f>
        <v>0</v>
      </c>
      <c r="AG88" s="593">
        <f>IF('Data entry'!$H$5="3.5% Declining",AG56*AG77,AG56/((1+AG$78)^AG$4))</f>
        <v>0</v>
      </c>
      <c r="AH88" s="593">
        <f>IF('Data entry'!$H$5="3.5% Declining",AH56*AH77,AH56/((1+AH$78)^AH$4))</f>
        <v>0</v>
      </c>
      <c r="AI88" s="593">
        <f>IF('Data entry'!$H$5="3.5% Declining",AI56*AI77,AI56/((1+AI$78)^AI$4))</f>
        <v>0</v>
      </c>
      <c r="AJ88" s="593">
        <f>IF('Data entry'!$H$5="3.5% Declining",AJ56*AJ77,AJ56/((1+AJ$78)^AJ$4))</f>
        <v>0</v>
      </c>
      <c r="AK88" s="593">
        <f>IF('Data entry'!$H$5="3.5% Declining",AK56*AK77,AK56/((1+AK$78)^AK$4))</f>
        <v>0</v>
      </c>
      <c r="AL88" s="593">
        <f>IF('Data entry'!$H$5="3.5% Declining",AL56*AL77,AL56/((1+AL$78)^AL$4))</f>
        <v>0</v>
      </c>
      <c r="AM88" s="593">
        <f>IF('Data entry'!$H$5="3.5% Declining",AM56*AM77,AM56/((1+AM$78)^AM$4))</f>
        <v>0</v>
      </c>
      <c r="AN88" s="593">
        <f>IF('Data entry'!$H$5="3.5% Declining",AN56*AN77,AN56/((1+AN$78)^AN$4))</f>
        <v>0</v>
      </c>
      <c r="AO88" s="594">
        <f>IF('Data entry'!$H$5="3.5% Declining",AO56*AO77,AO56/((1+AO$78)^AO$4))</f>
        <v>0</v>
      </c>
      <c r="AP88" s="593">
        <f>IF('Data entry'!$H$5="3.5% Declining",AP56*AP77,AP56/((1+AP$78)^AP$4))</f>
        <v>0</v>
      </c>
      <c r="AQ88" s="593">
        <f>IF('Data entry'!$H$5="3.5% Declining",AQ56*AQ77,AQ56/((1+AQ$78)^AQ$4))</f>
        <v>0</v>
      </c>
      <c r="AR88" s="593">
        <f>IF('Data entry'!$H$5="3.5% Declining",AR56*AR77,AR56/((1+AR$78)^AR$4))</f>
        <v>0</v>
      </c>
      <c r="AS88" s="593">
        <f>IF('Data entry'!$H$5="3.5% Declining",AS56*AS77,AS56/((1+AS$78)^AS$4))</f>
        <v>0</v>
      </c>
      <c r="AT88" s="593">
        <f>IF('Data entry'!$H$5="3.5% Declining",AT56*AT77,AT56/((1+AT$78)^AT$4))</f>
        <v>0</v>
      </c>
      <c r="AU88" s="593">
        <f>IF('Data entry'!$H$5="3.5% Declining",AU56*AU77,AU56/((1+AU$78)^AU$4))</f>
        <v>0</v>
      </c>
      <c r="AV88" s="593">
        <f>IF('Data entry'!$H$5="3.5% Declining",AV56*AV77,AV56/((1+AV$78)^AV$4))</f>
        <v>0</v>
      </c>
      <c r="AW88" s="593">
        <f>IF('Data entry'!$H$5="3.5% Declining",AW56*AW77,AW56/((1+AW$78)^AW$4))</f>
        <v>0</v>
      </c>
      <c r="AX88" s="593">
        <f>IF('Data entry'!$H$5="3.5% Declining",AX56*AX77,AX56/((1+AX$78)^AX$4))</f>
        <v>0</v>
      </c>
      <c r="AY88" s="593">
        <f>IF('Data entry'!$H$5="3.5% Declining",AY56*AY77,AY56/((1+AY$78)^AY$4))</f>
        <v>0</v>
      </c>
      <c r="AZ88" s="593">
        <f>IF('Data entry'!$H$5="3.5% Declining",AZ56*AZ77,AZ56/((1+AZ$78)^AZ$4))</f>
        <v>0</v>
      </c>
      <c r="BA88" s="593">
        <f>IF('Data entry'!$H$5="3.5% Declining",BA56*BA77,BA56/((1+BA$78)^BA$4))</f>
        <v>0</v>
      </c>
      <c r="BB88" s="593">
        <f>IF('Data entry'!$H$5="3.5% Declining",BB56*BB77,BB56/((1+BB$78)^BB$4))</f>
        <v>0</v>
      </c>
      <c r="BC88" s="593">
        <f>IF('Data entry'!$H$5="3.5% Declining",BC56*BC77,BC56/((1+BC$78)^BC$4))</f>
        <v>0</v>
      </c>
      <c r="BD88" s="593">
        <f>IF('Data entry'!$H$5="3.5% Declining",BD56*BD77,BD56/((1+BD$78)^BD$4))</f>
        <v>0</v>
      </c>
      <c r="BE88" s="593">
        <f>IF('Data entry'!$H$5="3.5% Declining",BE56*BE77,BE56/((1+BE$78)^BE$4))</f>
        <v>0</v>
      </c>
      <c r="BF88" s="593">
        <f>IF('Data entry'!$H$5="3.5% Declining",BF56*BF77,BF56/((1+BF$78)^BF$4))</f>
        <v>0</v>
      </c>
      <c r="BG88" s="593">
        <f>IF('Data entry'!$H$5="3.5% Declining",BG56*BG77,BG56/((1+BG$78)^BG$4))</f>
        <v>0</v>
      </c>
      <c r="BH88" s="593">
        <f>IF('Data entry'!$H$5="3.5% Declining",BH56*BH77,BH56/((1+BH$78)^BH$4))</f>
        <v>0</v>
      </c>
      <c r="BI88" s="593">
        <f>IF('Data entry'!$H$5="3.5% Declining",BI56*BI77,BI56/((1+BI$78)^BI$4))</f>
        <v>0</v>
      </c>
      <c r="BJ88" s="593">
        <f>IF('Data entry'!$H$5="3.5% Declining",BJ56*BJ77,BJ56/((1+BJ$78)^BJ$4))</f>
        <v>0</v>
      </c>
      <c r="BK88" s="594">
        <f>IF('Data entry'!$H$5="3.5% Declining",BK56*BK77,BK56/((1+BK$78)^BK$4))</f>
        <v>0</v>
      </c>
      <c r="BL88" s="593">
        <f>IF('Data entry'!$H$5="3.5% Declining",BL56*BL77,BL56/((1+BL$78)^BL$4))</f>
        <v>0</v>
      </c>
      <c r="BM88" s="593">
        <f>IF('Data entry'!$H$5="3.5% Declining",BM56*BM77,BM56/((1+BM$78)^BM$4))</f>
        <v>0</v>
      </c>
      <c r="BN88" s="593">
        <f>IF('Data entry'!$H$5="3.5% Declining",BN56*BN77,BN56/((1+BN$78)^BN$4))</f>
        <v>0</v>
      </c>
      <c r="BO88" s="593">
        <f>IF('Data entry'!$H$5="3.5% Declining",BO56*BO77,BO56/((1+BO$78)^BO$4))</f>
        <v>0</v>
      </c>
      <c r="BP88" s="593">
        <f>IF('Data entry'!$H$5="3.5% Declining",BP56*BP77,BP56/((1+BP$78)^BP$4))</f>
        <v>0</v>
      </c>
      <c r="BQ88" s="593">
        <f>IF('Data entry'!$H$5="3.5% Declining",BQ56*BQ77,BQ56/((1+BQ$78)^BQ$4))</f>
        <v>0</v>
      </c>
      <c r="BR88" s="593">
        <f>IF('Data entry'!$H$5="3.5% Declining",BR56*BR77,BR56/((1+BR$78)^BR$4))</f>
        <v>0</v>
      </c>
      <c r="BS88" s="593">
        <f>IF('Data entry'!$H$5="3.5% Declining",BS56*BS77,BS56/((1+BS$78)^BS$4))</f>
        <v>0</v>
      </c>
      <c r="BT88" s="593">
        <f>IF('Data entry'!$H$5="3.5% Declining",BT56*BT77,BT56/((1+BT$78)^BT$4))</f>
        <v>0</v>
      </c>
      <c r="BU88" s="593">
        <f>IF('Data entry'!$H$5="3.5% Declining",BU56*BU77,BU56/((1+BU$78)^BU$4))</f>
        <v>0</v>
      </c>
      <c r="BV88" s="593">
        <f>IF('Data entry'!$H$5="3.5% Declining",BV56*BV77,BV56/((1+BV$78)^BV$4))</f>
        <v>0</v>
      </c>
      <c r="BW88" s="593">
        <f>IF('Data entry'!$H$5="3.5% Declining",BW56*BW77,BW56/((1+BW$78)^BW$4))</f>
        <v>0</v>
      </c>
      <c r="BX88" s="593">
        <f>IF('Data entry'!$H$5="3.5% Declining",BX56*BX77,BX56/((1+BX$78)^BX$4))</f>
        <v>0</v>
      </c>
      <c r="BY88" s="593">
        <f>IF('Data entry'!$H$5="3.5% Declining",BY56*BY77,BY56/((1+BY$78)^BY$4))</f>
        <v>0</v>
      </c>
      <c r="BZ88" s="593">
        <f>IF('Data entry'!$H$5="3.5% Declining",BZ56*BZ77,BZ56/((1+BZ$78)^BZ$4))</f>
        <v>0</v>
      </c>
      <c r="CA88" s="594">
        <f>IF('Data entry'!$H$5="3.5% Declining",CA56*CA77,CA56/((1+CA$78)^CA$4))</f>
        <v>0</v>
      </c>
      <c r="CB88" s="593">
        <f>IF('Data entry'!$H$5="3.5% Declining",CB56*CB77,CB56/((1+CB$78)^CB$4))</f>
        <v>0</v>
      </c>
      <c r="CC88" s="593">
        <f>IF('Data entry'!$H$5="3.5% Declining",CC56*CC77,CC56/((1+CC$78)^CC$4))</f>
        <v>0</v>
      </c>
      <c r="CD88" s="593">
        <f>IF('Data entry'!$H$5="3.5% Declining",CD56*CD77,CD56/((1+CD$78)^CD$4))</f>
        <v>0</v>
      </c>
      <c r="CE88" s="593">
        <f>IF('Data entry'!$H$5="3.5% Declining",CE56*CE77,CE56/((1+CE$78)^CE$4))</f>
        <v>0</v>
      </c>
      <c r="CF88" s="593">
        <f>IF('Data entry'!$H$5="3.5% Declining",CF56*CF77,CF56/((1+CF$78)^CF$4))</f>
        <v>0</v>
      </c>
      <c r="CG88" s="593">
        <f>IF('Data entry'!$H$5="3.5% Declining",CG56*CG77,CG56/((1+CG$78)^CG$4))</f>
        <v>0</v>
      </c>
      <c r="CH88" s="593">
        <f>IF('Data entry'!$H$5="3.5% Declining",CH56*CH77,CH56/((1+CH$78)^CH$4))</f>
        <v>0</v>
      </c>
      <c r="CI88" s="593">
        <f>IF('Data entry'!$H$5="3.5% Declining",CI56*CI77,CI56/((1+CI$78)^CI$4))</f>
        <v>0</v>
      </c>
      <c r="CJ88" s="593">
        <f>IF('Data entry'!$H$5="3.5% Declining",CJ56*CJ77,CJ56/((1+CJ$78)^CJ$4))</f>
        <v>0</v>
      </c>
      <c r="CK88" s="593">
        <f>IF('Data entry'!$H$5="3.5% Declining",CK56*CK77,CK56/((1+CK$78)^CK$4))</f>
        <v>0</v>
      </c>
      <c r="CL88" s="593">
        <f>IF('Data entry'!$H$5="3.5% Declining",CL56*CL77,CL56/((1+CL$78)^CL$4))</f>
        <v>0</v>
      </c>
      <c r="CM88" s="593">
        <f>IF('Data entry'!$H$5="3.5% Declining",CM56*CM77,CM56/((1+CM$78)^CM$4))</f>
        <v>0</v>
      </c>
      <c r="CN88" s="593">
        <f>IF('Data entry'!$H$5="3.5% Declining",CN56*CN77,CN56/((1+CN$78)^CN$4))</f>
        <v>0</v>
      </c>
      <c r="CO88" s="593">
        <f>IF('Data entry'!$H$5="3.5% Declining",CO56*CO77,CO56/((1+CO$78)^CO$4))</f>
        <v>0</v>
      </c>
      <c r="CP88" s="593">
        <f>IF('Data entry'!$H$5="3.5% Declining",CP56*CP77,CP56/((1+CP$78)^CP$4))</f>
        <v>0</v>
      </c>
      <c r="CQ88" s="593">
        <f>IF('Data entry'!$H$5="3.5% Declining",CQ56*CQ77,CQ56/((1+CQ$78)^CQ$4))</f>
        <v>0</v>
      </c>
      <c r="CR88" s="593">
        <f>IF('Data entry'!$H$5="3.5% Declining",CR56*CR77,CR56/((1+CR$78)^CR$4))</f>
        <v>0</v>
      </c>
      <c r="CS88" s="593">
        <f>IF('Data entry'!$H$5="3.5% Declining",CS56*CS77,CS56/((1+CS$78)^CS$4))</f>
        <v>0</v>
      </c>
      <c r="CT88" s="593">
        <f>IF('Data entry'!$H$5="3.5% Declining",CT56*CT77,CT56/((1+CT$78)^CT$4))</f>
        <v>0</v>
      </c>
      <c r="CU88" s="593">
        <f>IF('Data entry'!$H$5="3.5% Declining",CU56*CU77,CU56/((1+CU$78)^CU$4))</f>
        <v>0</v>
      </c>
      <c r="CV88" s="593">
        <f>IF('Data entry'!$H$5="3.5% Declining",CV56*CV77,CV56/((1+CV$78)^CV$4))</f>
        <v>0</v>
      </c>
      <c r="CW88" s="593">
        <f>IF('Data entry'!$H$5="3.5% Declining",CW56*CW77,CW56/((1+CW$78)^CW$4))</f>
        <v>0</v>
      </c>
      <c r="CX88" s="593">
        <f>IF('Data entry'!$H$5="3.5% Declining",CX56*CX77,CX56/((1+CX$78)^CX$4))</f>
        <v>0</v>
      </c>
      <c r="CY88" s="595">
        <f>IF('Data entry'!$H$5="3.5% Declining",CY56*CY77,CY56/((1+CY$78)^CY$4))</f>
        <v>0</v>
      </c>
    </row>
    <row r="89" spans="1:103" ht="15.5" x14ac:dyDescent="0.35">
      <c r="A89" s="590" t="str">
        <f t="shared" si="44"/>
        <v>Discounted Other regular payments/sponsorships/donations (specify)</v>
      </c>
      <c r="B89" s="596"/>
      <c r="C89" s="592">
        <f t="shared" ref="C89" si="45">SUM(D89:CY89)</f>
        <v>0</v>
      </c>
      <c r="D89" s="593">
        <f>IF('Data entry'!$H$5="3.5% Declining",D57*D77,D57/((1+D$78)^D$4))</f>
        <v>0</v>
      </c>
      <c r="E89" s="593">
        <f>IF('Data entry'!$H$5="3.5% Declining",E57*E77,E57/((1+E$78)^E$4))</f>
        <v>0</v>
      </c>
      <c r="F89" s="593">
        <f>IF('Data entry'!$H$5="3.5% Declining",F57*F77,F57/((1+F$78)^F$4))</f>
        <v>0</v>
      </c>
      <c r="G89" s="593">
        <f>IF('Data entry'!$H$5="3.5% Declining",G57*G77,G57/((1+G$78)^G$4))</f>
        <v>0</v>
      </c>
      <c r="H89" s="593">
        <f>IF('Data entry'!$H$5="3.5% Declining",H57*H77,H57/((1+H$78)^H$4))</f>
        <v>0</v>
      </c>
      <c r="I89" s="593">
        <f>IF('Data entry'!$H$5="3.5% Declining",I57*I77,I57/((1+I$78)^I$4))</f>
        <v>0</v>
      </c>
      <c r="J89" s="593">
        <f>IF('Data entry'!$H$5="3.5% Declining",J57*J77,J57/((1+J$78)^J$4))</f>
        <v>0</v>
      </c>
      <c r="K89" s="593">
        <f>IF('Data entry'!$H$5="3.5% Declining",K57*K77,K57/((1+K$78)^K$4))</f>
        <v>0</v>
      </c>
      <c r="L89" s="593">
        <f>IF('Data entry'!$H$5="3.5% Declining",L57*L77,L57/((1+L$78)^L$4))</f>
        <v>0</v>
      </c>
      <c r="M89" s="593">
        <f>IF('Data entry'!$H$5="3.5% Declining",M57*M77,M57/((1+M$78)^M$4))</f>
        <v>0</v>
      </c>
      <c r="N89" s="593">
        <f>IF('Data entry'!$H$5="3.5% Declining",N57*N77,N57/((1+N$78)^N$4))</f>
        <v>0</v>
      </c>
      <c r="O89" s="593">
        <f>IF('Data entry'!$H$5="3.5% Declining",O57*O77,O57/((1+O$78)^O$4))</f>
        <v>0</v>
      </c>
      <c r="P89" s="593">
        <f>IF('Data entry'!$H$5="3.5% Declining",P57*P77,P57/((1+P$78)^P$4))</f>
        <v>0</v>
      </c>
      <c r="Q89" s="593">
        <f>IF('Data entry'!$H$5="3.5% Declining",Q57*Q77,Q57/((1+Q$78)^Q$4))</f>
        <v>0</v>
      </c>
      <c r="R89" s="593">
        <f>IF('Data entry'!$H$5="3.5% Declining",R57*R77,R57/((1+R$78)^R$4))</f>
        <v>0</v>
      </c>
      <c r="S89" s="593">
        <f>IF('Data entry'!$H$5="3.5% Declining",S57*S77,S57/((1+S$78)^S$4))</f>
        <v>0</v>
      </c>
      <c r="T89" s="593">
        <f>IF('Data entry'!$H$5="3.5% Declining",T57*T77,T57/((1+T$78)^T$4))</f>
        <v>0</v>
      </c>
      <c r="U89" s="593">
        <f>IF('Data entry'!$H$5="3.5% Declining",U57*U77,U57/((1+U$78)^U$4))</f>
        <v>0</v>
      </c>
      <c r="V89" s="593">
        <f>IF('Data entry'!$H$5="3.5% Declining",V57*V77,V57/((1+V$78)^V$4))</f>
        <v>0</v>
      </c>
      <c r="W89" s="593">
        <f>IF('Data entry'!$H$5="3.5% Declining",W57*W77,W57/((1+W$78)^W$4))</f>
        <v>0</v>
      </c>
      <c r="X89" s="593">
        <f>IF('Data entry'!$H$5="3.5% Declining",X57*X77,X57/((1+X$78)^X$4))</f>
        <v>0</v>
      </c>
      <c r="Y89" s="593">
        <f>IF('Data entry'!$H$5="3.5% Declining",Y57*Y77,Y57/((1+Y$78)^Y$4))</f>
        <v>0</v>
      </c>
      <c r="Z89" s="593">
        <f>IF('Data entry'!$H$5="3.5% Declining",Z57*Z77,Z57/((1+Z$78)^Z$4))</f>
        <v>0</v>
      </c>
      <c r="AA89" s="593">
        <f>IF('Data entry'!$H$5="3.5% Declining",AA57*AA77,AA57/((1+AA$78)^AA$4))</f>
        <v>0</v>
      </c>
      <c r="AB89" s="593">
        <f>IF('Data entry'!$H$5="3.5% Declining",AB57*AB77,AB57/((1+AB$78)^AB$4))</f>
        <v>0</v>
      </c>
      <c r="AC89" s="593">
        <f>IF('Data entry'!$H$5="3.5% Declining",AC57*AC77,AC57/((1+AC$78)^AC$4))</f>
        <v>0</v>
      </c>
      <c r="AD89" s="593">
        <f>IF('Data entry'!$H$5="3.5% Declining",AD57*AD77,AD57/((1+AD$78)^AD$4))</f>
        <v>0</v>
      </c>
      <c r="AE89" s="593">
        <f>IF('Data entry'!$H$5="3.5% Declining",AE57*AE77,AE57/((1+AE$78)^AE$4))</f>
        <v>0</v>
      </c>
      <c r="AF89" s="593">
        <f>IF('Data entry'!$H$5="3.5% Declining",AF57*AF77,AF57/((1+AF$78)^AF$4))</f>
        <v>0</v>
      </c>
      <c r="AG89" s="593">
        <f>IF('Data entry'!$H$5="3.5% Declining",AG57*AG77,AG57/((1+AG$78)^AG$4))</f>
        <v>0</v>
      </c>
      <c r="AH89" s="593">
        <f>IF('Data entry'!$H$5="3.5% Declining",AH57*AH77,AH57/((1+AH$78)^AH$4))</f>
        <v>0</v>
      </c>
      <c r="AI89" s="593">
        <f>IF('Data entry'!$H$5="3.5% Declining",AI57*AI77,AI57/((1+AI$78)^AI$4))</f>
        <v>0</v>
      </c>
      <c r="AJ89" s="593">
        <f>IF('Data entry'!$H$5="3.5% Declining",AJ57*AJ77,AJ57/((1+AJ$78)^AJ$4))</f>
        <v>0</v>
      </c>
      <c r="AK89" s="593">
        <f>IF('Data entry'!$H$5="3.5% Declining",AK57*AK77,AK57/((1+AK$78)^AK$4))</f>
        <v>0</v>
      </c>
      <c r="AL89" s="593">
        <f>IF('Data entry'!$H$5="3.5% Declining",AL57*AL77,AL57/((1+AL$78)^AL$4))</f>
        <v>0</v>
      </c>
      <c r="AM89" s="593">
        <f>IF('Data entry'!$H$5="3.5% Declining",AM57*AM77,AM57/((1+AM$78)^AM$4))</f>
        <v>0</v>
      </c>
      <c r="AN89" s="593">
        <f>IF('Data entry'!$H$5="3.5% Declining",AN57*AN77,AN57/((1+AN$78)^AN$4))</f>
        <v>0</v>
      </c>
      <c r="AO89" s="594">
        <f>IF('Data entry'!$H$5="3.5% Declining",AO57*AO77,AO57/((1+AO$78)^AO$4))</f>
        <v>0</v>
      </c>
      <c r="AP89" s="593">
        <f>IF('Data entry'!$H$5="3.5% Declining",AP57*AP77,AP57/((1+AP$78)^AP$4))</f>
        <v>0</v>
      </c>
      <c r="AQ89" s="593">
        <f>IF('Data entry'!$H$5="3.5% Declining",AQ57*AQ77,AQ57/((1+AQ$78)^AQ$4))</f>
        <v>0</v>
      </c>
      <c r="AR89" s="593">
        <f>IF('Data entry'!$H$5="3.5% Declining",AR57*AR77,AR57/((1+AR$78)^AR$4))</f>
        <v>0</v>
      </c>
      <c r="AS89" s="593">
        <f>IF('Data entry'!$H$5="3.5% Declining",AS57*AS77,AS57/((1+AS$78)^AS$4))</f>
        <v>0</v>
      </c>
      <c r="AT89" s="593">
        <f>IF('Data entry'!$H$5="3.5% Declining",AT57*AT77,AT57/((1+AT$78)^AT$4))</f>
        <v>0</v>
      </c>
      <c r="AU89" s="593">
        <f>IF('Data entry'!$H$5="3.5% Declining",AU57*AU77,AU57/((1+AU$78)^AU$4))</f>
        <v>0</v>
      </c>
      <c r="AV89" s="593">
        <f>IF('Data entry'!$H$5="3.5% Declining",AV57*AV77,AV57/((1+AV$78)^AV$4))</f>
        <v>0</v>
      </c>
      <c r="AW89" s="593">
        <f>IF('Data entry'!$H$5="3.5% Declining",AW57*AW77,AW57/((1+AW$78)^AW$4))</f>
        <v>0</v>
      </c>
      <c r="AX89" s="593">
        <f>IF('Data entry'!$H$5="3.5% Declining",AX57*AX77,AX57/((1+AX$78)^AX$4))</f>
        <v>0</v>
      </c>
      <c r="AY89" s="593">
        <f>IF('Data entry'!$H$5="3.5% Declining",AY57*AY77,AY57/((1+AY$78)^AY$4))</f>
        <v>0</v>
      </c>
      <c r="AZ89" s="593">
        <f>IF('Data entry'!$H$5="3.5% Declining",AZ57*AZ77,AZ57/((1+AZ$78)^AZ$4))</f>
        <v>0</v>
      </c>
      <c r="BA89" s="593">
        <f>IF('Data entry'!$H$5="3.5% Declining",BA57*BA77,BA57/((1+BA$78)^BA$4))</f>
        <v>0</v>
      </c>
      <c r="BB89" s="593">
        <f>IF('Data entry'!$H$5="3.5% Declining",BB57*BB77,BB57/((1+BB$78)^BB$4))</f>
        <v>0</v>
      </c>
      <c r="BC89" s="593">
        <f>IF('Data entry'!$H$5="3.5% Declining",BC57*BC77,BC57/((1+BC$78)^BC$4))</f>
        <v>0</v>
      </c>
      <c r="BD89" s="593">
        <f>IF('Data entry'!$H$5="3.5% Declining",BD57*BD77,BD57/((1+BD$78)^BD$4))</f>
        <v>0</v>
      </c>
      <c r="BE89" s="593">
        <f>IF('Data entry'!$H$5="3.5% Declining",BE57*BE77,BE57/((1+BE$78)^BE$4))</f>
        <v>0</v>
      </c>
      <c r="BF89" s="593">
        <f>IF('Data entry'!$H$5="3.5% Declining",BF57*BF77,BF57/((1+BF$78)^BF$4))</f>
        <v>0</v>
      </c>
      <c r="BG89" s="593">
        <f>IF('Data entry'!$H$5="3.5% Declining",BG57*BG77,BG57/((1+BG$78)^BG$4))</f>
        <v>0</v>
      </c>
      <c r="BH89" s="593">
        <f>IF('Data entry'!$H$5="3.5% Declining",BH57*BH77,BH57/((1+BH$78)^BH$4))</f>
        <v>0</v>
      </c>
      <c r="BI89" s="593">
        <f>IF('Data entry'!$H$5="3.5% Declining",BI57*BI77,BI57/((1+BI$78)^BI$4))</f>
        <v>0</v>
      </c>
      <c r="BJ89" s="593">
        <f>IF('Data entry'!$H$5="3.5% Declining",BJ57*BJ77,BJ57/((1+BJ$78)^BJ$4))</f>
        <v>0</v>
      </c>
      <c r="BK89" s="594">
        <f>IF('Data entry'!$H$5="3.5% Declining",BK57*BK77,BK57/((1+BK$78)^BK$4))</f>
        <v>0</v>
      </c>
      <c r="BL89" s="593">
        <f>IF('Data entry'!$H$5="3.5% Declining",BL57*BL77,BL57/((1+BL$78)^BL$4))</f>
        <v>0</v>
      </c>
      <c r="BM89" s="593">
        <f>IF('Data entry'!$H$5="3.5% Declining",BM57*BM77,BM57/((1+BM$78)^BM$4))</f>
        <v>0</v>
      </c>
      <c r="BN89" s="593">
        <f>IF('Data entry'!$H$5="3.5% Declining",BN57*BN77,BN57/((1+BN$78)^BN$4))</f>
        <v>0</v>
      </c>
      <c r="BO89" s="593">
        <f>IF('Data entry'!$H$5="3.5% Declining",BO57*BO77,BO57/((1+BO$78)^BO$4))</f>
        <v>0</v>
      </c>
      <c r="BP89" s="593">
        <f>IF('Data entry'!$H$5="3.5% Declining",BP57*BP77,BP57/((1+BP$78)^BP$4))</f>
        <v>0</v>
      </c>
      <c r="BQ89" s="593">
        <f>IF('Data entry'!$H$5="3.5% Declining",BQ57*BQ77,BQ57/((1+BQ$78)^BQ$4))</f>
        <v>0</v>
      </c>
      <c r="BR89" s="593">
        <f>IF('Data entry'!$H$5="3.5% Declining",BR57*BR77,BR57/((1+BR$78)^BR$4))</f>
        <v>0</v>
      </c>
      <c r="BS89" s="593">
        <f>IF('Data entry'!$H$5="3.5% Declining",BS57*BS77,BS57/((1+BS$78)^BS$4))</f>
        <v>0</v>
      </c>
      <c r="BT89" s="593">
        <f>IF('Data entry'!$H$5="3.5% Declining",BT57*BT77,BT57/((1+BT$78)^BT$4))</f>
        <v>0</v>
      </c>
      <c r="BU89" s="593">
        <f>IF('Data entry'!$H$5="3.5% Declining",BU57*BU77,BU57/((1+BU$78)^BU$4))</f>
        <v>0</v>
      </c>
      <c r="BV89" s="593">
        <f>IF('Data entry'!$H$5="3.5% Declining",BV57*BV77,BV57/((1+BV$78)^BV$4))</f>
        <v>0</v>
      </c>
      <c r="BW89" s="593">
        <f>IF('Data entry'!$H$5="3.5% Declining",BW57*BW77,BW57/((1+BW$78)^BW$4))</f>
        <v>0</v>
      </c>
      <c r="BX89" s="593">
        <f>IF('Data entry'!$H$5="3.5% Declining",BX57*BX77,BX57/((1+BX$78)^BX$4))</f>
        <v>0</v>
      </c>
      <c r="BY89" s="593">
        <f>IF('Data entry'!$H$5="3.5% Declining",BY57*BY77,BY57/((1+BY$78)^BY$4))</f>
        <v>0</v>
      </c>
      <c r="BZ89" s="593">
        <f>IF('Data entry'!$H$5="3.5% Declining",BZ57*BZ77,BZ57/((1+BZ$78)^BZ$4))</f>
        <v>0</v>
      </c>
      <c r="CA89" s="594">
        <f>IF('Data entry'!$H$5="3.5% Declining",CA57*CA77,CA57/((1+CA$78)^CA$4))</f>
        <v>0</v>
      </c>
      <c r="CB89" s="593">
        <f>IF('Data entry'!$H$5="3.5% Declining",CB57*CB77,CB57/((1+CB$78)^CB$4))</f>
        <v>0</v>
      </c>
      <c r="CC89" s="593">
        <f>IF('Data entry'!$H$5="3.5% Declining",CC57*CC77,CC57/((1+CC$78)^CC$4))</f>
        <v>0</v>
      </c>
      <c r="CD89" s="593">
        <f>IF('Data entry'!$H$5="3.5% Declining",CD57*CD77,CD57/((1+CD$78)^CD$4))</f>
        <v>0</v>
      </c>
      <c r="CE89" s="593">
        <f>IF('Data entry'!$H$5="3.5% Declining",CE57*CE77,CE57/((1+CE$78)^CE$4))</f>
        <v>0</v>
      </c>
      <c r="CF89" s="593">
        <f>IF('Data entry'!$H$5="3.5% Declining",CF57*CF77,CF57/((1+CF$78)^CF$4))</f>
        <v>0</v>
      </c>
      <c r="CG89" s="593">
        <f>IF('Data entry'!$H$5="3.5% Declining",CG57*CG77,CG57/((1+CG$78)^CG$4))</f>
        <v>0</v>
      </c>
      <c r="CH89" s="593">
        <f>IF('Data entry'!$H$5="3.5% Declining",CH57*CH77,CH57/((1+CH$78)^CH$4))</f>
        <v>0</v>
      </c>
      <c r="CI89" s="593">
        <f>IF('Data entry'!$H$5="3.5% Declining",CI57*CI77,CI57/((1+CI$78)^CI$4))</f>
        <v>0</v>
      </c>
      <c r="CJ89" s="593">
        <f>IF('Data entry'!$H$5="3.5% Declining",CJ57*CJ77,CJ57/((1+CJ$78)^CJ$4))</f>
        <v>0</v>
      </c>
      <c r="CK89" s="593">
        <f>IF('Data entry'!$H$5="3.5% Declining",CK57*CK77,CK57/((1+CK$78)^CK$4))</f>
        <v>0</v>
      </c>
      <c r="CL89" s="593">
        <f>IF('Data entry'!$H$5="3.5% Declining",CL57*CL77,CL57/((1+CL$78)^CL$4))</f>
        <v>0</v>
      </c>
      <c r="CM89" s="593">
        <f>IF('Data entry'!$H$5="3.5% Declining",CM57*CM77,CM57/((1+CM$78)^CM$4))</f>
        <v>0</v>
      </c>
      <c r="CN89" s="593">
        <f>IF('Data entry'!$H$5="3.5% Declining",CN57*CN77,CN57/((1+CN$78)^CN$4))</f>
        <v>0</v>
      </c>
      <c r="CO89" s="593">
        <f>IF('Data entry'!$H$5="3.5% Declining",CO57*CO77,CO57/((1+CO$78)^CO$4))</f>
        <v>0</v>
      </c>
      <c r="CP89" s="593">
        <f>IF('Data entry'!$H$5="3.5% Declining",CP57*CP77,CP57/((1+CP$78)^CP$4))</f>
        <v>0</v>
      </c>
      <c r="CQ89" s="593">
        <f>IF('Data entry'!$H$5="3.5% Declining",CQ57*CQ77,CQ57/((1+CQ$78)^CQ$4))</f>
        <v>0</v>
      </c>
      <c r="CR89" s="593">
        <f>IF('Data entry'!$H$5="3.5% Declining",CR57*CR77,CR57/((1+CR$78)^CR$4))</f>
        <v>0</v>
      </c>
      <c r="CS89" s="593">
        <f>IF('Data entry'!$H$5="3.5% Declining",CS57*CS77,CS57/((1+CS$78)^CS$4))</f>
        <v>0</v>
      </c>
      <c r="CT89" s="593">
        <f>IF('Data entry'!$H$5="3.5% Declining",CT57*CT77,CT57/((1+CT$78)^CT$4))</f>
        <v>0</v>
      </c>
      <c r="CU89" s="593">
        <f>IF('Data entry'!$H$5="3.5% Declining",CU57*CU77,CU57/((1+CU$78)^CU$4))</f>
        <v>0</v>
      </c>
      <c r="CV89" s="593">
        <f>IF('Data entry'!$H$5="3.5% Declining",CV57*CV77,CV57/((1+CV$78)^CV$4))</f>
        <v>0</v>
      </c>
      <c r="CW89" s="593">
        <f>IF('Data entry'!$H$5="3.5% Declining",CW57*CW77,CW57/((1+CW$78)^CW$4))</f>
        <v>0</v>
      </c>
      <c r="CX89" s="593">
        <f>IF('Data entry'!$H$5="3.5% Declining",CX57*CX77,CX57/((1+CX$78)^CX$4))</f>
        <v>0</v>
      </c>
      <c r="CY89" s="595">
        <f>IF('Data entry'!$H$5="3.5% Declining",CY57*CY77,CY57/((1+CY$78)^CY$4))</f>
        <v>0</v>
      </c>
    </row>
    <row r="90" spans="1:103" ht="15.5" x14ac:dyDescent="0.35">
      <c r="A90" s="590" t="str">
        <f t="shared" si="44"/>
        <v>Discounted Other regular payments/sponsorships/donations (specify)</v>
      </c>
      <c r="B90" s="596"/>
      <c r="C90" s="592">
        <f t="shared" ref="C90" si="46">SUM(D90:CY90)</f>
        <v>0</v>
      </c>
      <c r="D90" s="593">
        <f>IF('Data entry'!$H$5="3.5% Declining",D58*D77,D58/((1+D$78)^D$4))</f>
        <v>0</v>
      </c>
      <c r="E90" s="593">
        <f>IF('Data entry'!$H$5="3.5% Declining",E58*E77,E58/((1+E$78)^E$4))</f>
        <v>0</v>
      </c>
      <c r="F90" s="593">
        <f>IF('Data entry'!$H$5="3.5% Declining",F58*F77,F58/((1+F$78)^F$4))</f>
        <v>0</v>
      </c>
      <c r="G90" s="593">
        <f>IF('Data entry'!$H$5="3.5% Declining",G58*G77,G58/((1+G$78)^G$4))</f>
        <v>0</v>
      </c>
      <c r="H90" s="593">
        <f>IF('Data entry'!$H$5="3.5% Declining",H58*H77,H58/((1+H$78)^H$4))</f>
        <v>0</v>
      </c>
      <c r="I90" s="593">
        <f>IF('Data entry'!$H$5="3.5% Declining",I58*I77,I58/((1+I$78)^I$4))</f>
        <v>0</v>
      </c>
      <c r="J90" s="593">
        <f>IF('Data entry'!$H$5="3.5% Declining",J58*J77,J58/((1+J$78)^J$4))</f>
        <v>0</v>
      </c>
      <c r="K90" s="593">
        <f>IF('Data entry'!$H$5="3.5% Declining",K58*K77,K58/((1+K$78)^K$4))</f>
        <v>0</v>
      </c>
      <c r="L90" s="593">
        <f>IF('Data entry'!$H$5="3.5% Declining",L58*L77,L58/((1+L$78)^L$4))</f>
        <v>0</v>
      </c>
      <c r="M90" s="593">
        <f>IF('Data entry'!$H$5="3.5% Declining",M58*M77,M58/((1+M$78)^M$4))</f>
        <v>0</v>
      </c>
      <c r="N90" s="593">
        <f>IF('Data entry'!$H$5="3.5% Declining",N58*N77,N58/((1+N$78)^N$4))</f>
        <v>0</v>
      </c>
      <c r="O90" s="593">
        <f>IF('Data entry'!$H$5="3.5% Declining",O58*O77,O58/((1+O$78)^O$4))</f>
        <v>0</v>
      </c>
      <c r="P90" s="593">
        <f>IF('Data entry'!$H$5="3.5% Declining",P58*P77,P58/((1+P$78)^P$4))</f>
        <v>0</v>
      </c>
      <c r="Q90" s="593">
        <f>IF('Data entry'!$H$5="3.5% Declining",Q58*Q77,Q58/((1+Q$78)^Q$4))</f>
        <v>0</v>
      </c>
      <c r="R90" s="593">
        <f>IF('Data entry'!$H$5="3.5% Declining",R58*R77,R58/((1+R$78)^R$4))</f>
        <v>0</v>
      </c>
      <c r="S90" s="593">
        <f>IF('Data entry'!$H$5="3.5% Declining",S58*S77,S58/((1+S$78)^S$4))</f>
        <v>0</v>
      </c>
      <c r="T90" s="593">
        <f>IF('Data entry'!$H$5="3.5% Declining",T58*T77,T58/((1+T$78)^T$4))</f>
        <v>0</v>
      </c>
      <c r="U90" s="593">
        <f>IF('Data entry'!$H$5="3.5% Declining",U58*U77,U58/((1+U$78)^U$4))</f>
        <v>0</v>
      </c>
      <c r="V90" s="593">
        <f>IF('Data entry'!$H$5="3.5% Declining",V58*V77,V58/((1+V$78)^V$4))</f>
        <v>0</v>
      </c>
      <c r="W90" s="593">
        <f>IF('Data entry'!$H$5="3.5% Declining",W58*W77,W58/((1+W$78)^W$4))</f>
        <v>0</v>
      </c>
      <c r="X90" s="593">
        <f>IF('Data entry'!$H$5="3.5% Declining",X58*X77,X58/((1+X$78)^X$4))</f>
        <v>0</v>
      </c>
      <c r="Y90" s="593">
        <f>IF('Data entry'!$H$5="3.5% Declining",Y58*Y77,Y58/((1+Y$78)^Y$4))</f>
        <v>0</v>
      </c>
      <c r="Z90" s="593">
        <f>IF('Data entry'!$H$5="3.5% Declining",Z58*Z77,Z58/((1+Z$78)^Z$4))</f>
        <v>0</v>
      </c>
      <c r="AA90" s="593">
        <f>IF('Data entry'!$H$5="3.5% Declining",AA58*AA77,AA58/((1+AA$78)^AA$4))</f>
        <v>0</v>
      </c>
      <c r="AB90" s="593">
        <f>IF('Data entry'!$H$5="3.5% Declining",AB58*AB77,AB58/((1+AB$78)^AB$4))</f>
        <v>0</v>
      </c>
      <c r="AC90" s="593">
        <f>IF('Data entry'!$H$5="3.5% Declining",AC58*AC77,AC58/((1+AC$78)^AC$4))</f>
        <v>0</v>
      </c>
      <c r="AD90" s="593">
        <f>IF('Data entry'!$H$5="3.5% Declining",AD58*AD77,AD58/((1+AD$78)^AD$4))</f>
        <v>0</v>
      </c>
      <c r="AE90" s="593">
        <f>IF('Data entry'!$H$5="3.5% Declining",AE58*AE77,AE58/((1+AE$78)^AE$4))</f>
        <v>0</v>
      </c>
      <c r="AF90" s="593">
        <f>IF('Data entry'!$H$5="3.5% Declining",AF58*AF77,AF58/((1+AF$78)^AF$4))</f>
        <v>0</v>
      </c>
      <c r="AG90" s="593">
        <f>IF('Data entry'!$H$5="3.5% Declining",AG58*AG77,AG58/((1+AG$78)^AG$4))</f>
        <v>0</v>
      </c>
      <c r="AH90" s="593">
        <f>IF('Data entry'!$H$5="3.5% Declining",AH58*AH77,AH58/((1+AH$78)^AH$4))</f>
        <v>0</v>
      </c>
      <c r="AI90" s="593">
        <f>IF('Data entry'!$H$5="3.5% Declining",AI58*AI77,AI58/((1+AI$78)^AI$4))</f>
        <v>0</v>
      </c>
      <c r="AJ90" s="593">
        <f>IF('Data entry'!$H$5="3.5% Declining",AJ58*AJ77,AJ58/((1+AJ$78)^AJ$4))</f>
        <v>0</v>
      </c>
      <c r="AK90" s="593">
        <f>IF('Data entry'!$H$5="3.5% Declining",AK58*AK77,AK58/((1+AK$78)^AK$4))</f>
        <v>0</v>
      </c>
      <c r="AL90" s="593">
        <f>IF('Data entry'!$H$5="3.5% Declining",AL58*AL77,AL58/((1+AL$78)^AL$4))</f>
        <v>0</v>
      </c>
      <c r="AM90" s="593">
        <f>IF('Data entry'!$H$5="3.5% Declining",AM58*AM77,AM58/((1+AM$78)^AM$4))</f>
        <v>0</v>
      </c>
      <c r="AN90" s="593">
        <f>IF('Data entry'!$H$5="3.5% Declining",AN58*AN77,AN58/((1+AN$78)^AN$4))</f>
        <v>0</v>
      </c>
      <c r="AO90" s="594">
        <f>IF('Data entry'!$H$5="3.5% Declining",AO58*AO77,AO58/((1+AO$78)^AO$4))</f>
        <v>0</v>
      </c>
      <c r="AP90" s="593">
        <f>IF('Data entry'!$H$5="3.5% Declining",AP58*AP77,AP58/((1+AP$78)^AP$4))</f>
        <v>0</v>
      </c>
      <c r="AQ90" s="593">
        <f>IF('Data entry'!$H$5="3.5% Declining",AQ58*AQ77,AQ58/((1+AQ$78)^AQ$4))</f>
        <v>0</v>
      </c>
      <c r="AR90" s="593">
        <f>IF('Data entry'!$H$5="3.5% Declining",AR58*AR77,AR58/((1+AR$78)^AR$4))</f>
        <v>0</v>
      </c>
      <c r="AS90" s="593">
        <f>IF('Data entry'!$H$5="3.5% Declining",AS58*AS77,AS58/((1+AS$78)^AS$4))</f>
        <v>0</v>
      </c>
      <c r="AT90" s="593">
        <f>IF('Data entry'!$H$5="3.5% Declining",AT58*AT77,AT58/((1+AT$78)^AT$4))</f>
        <v>0</v>
      </c>
      <c r="AU90" s="593">
        <f>IF('Data entry'!$H$5="3.5% Declining",AU58*AU77,AU58/((1+AU$78)^AU$4))</f>
        <v>0</v>
      </c>
      <c r="AV90" s="593">
        <f>IF('Data entry'!$H$5="3.5% Declining",AV58*AV77,AV58/((1+AV$78)^AV$4))</f>
        <v>0</v>
      </c>
      <c r="AW90" s="593">
        <f>IF('Data entry'!$H$5="3.5% Declining",AW58*AW77,AW58/((1+AW$78)^AW$4))</f>
        <v>0</v>
      </c>
      <c r="AX90" s="593">
        <f>IF('Data entry'!$H$5="3.5% Declining",AX58*AX77,AX58/((1+AX$78)^AX$4))</f>
        <v>0</v>
      </c>
      <c r="AY90" s="593">
        <f>IF('Data entry'!$H$5="3.5% Declining",AY58*AY77,AY58/((1+AY$78)^AY$4))</f>
        <v>0</v>
      </c>
      <c r="AZ90" s="593">
        <f>IF('Data entry'!$H$5="3.5% Declining",AZ58*AZ77,AZ58/((1+AZ$78)^AZ$4))</f>
        <v>0</v>
      </c>
      <c r="BA90" s="593">
        <f>IF('Data entry'!$H$5="3.5% Declining",BA58*BA77,BA58/((1+BA$78)^BA$4))</f>
        <v>0</v>
      </c>
      <c r="BB90" s="593">
        <f>IF('Data entry'!$H$5="3.5% Declining",BB58*BB77,BB58/((1+BB$78)^BB$4))</f>
        <v>0</v>
      </c>
      <c r="BC90" s="593">
        <f>IF('Data entry'!$H$5="3.5% Declining",BC58*BC77,BC58/((1+BC$78)^BC$4))</f>
        <v>0</v>
      </c>
      <c r="BD90" s="593">
        <f>IF('Data entry'!$H$5="3.5% Declining",BD58*BD77,BD58/((1+BD$78)^BD$4))</f>
        <v>0</v>
      </c>
      <c r="BE90" s="593">
        <f>IF('Data entry'!$H$5="3.5% Declining",BE58*BE77,BE58/((1+BE$78)^BE$4))</f>
        <v>0</v>
      </c>
      <c r="BF90" s="593">
        <f>IF('Data entry'!$H$5="3.5% Declining",BF58*BF77,BF58/((1+BF$78)^BF$4))</f>
        <v>0</v>
      </c>
      <c r="BG90" s="593">
        <f>IF('Data entry'!$H$5="3.5% Declining",BG58*BG77,BG58/((1+BG$78)^BG$4))</f>
        <v>0</v>
      </c>
      <c r="BH90" s="593">
        <f>IF('Data entry'!$H$5="3.5% Declining",BH58*BH77,BH58/((1+BH$78)^BH$4))</f>
        <v>0</v>
      </c>
      <c r="BI90" s="593">
        <f>IF('Data entry'!$H$5="3.5% Declining",BI58*BI77,BI58/((1+BI$78)^BI$4))</f>
        <v>0</v>
      </c>
      <c r="BJ90" s="593">
        <f>IF('Data entry'!$H$5="3.5% Declining",BJ58*BJ77,BJ58/((1+BJ$78)^BJ$4))</f>
        <v>0</v>
      </c>
      <c r="BK90" s="594">
        <f>IF('Data entry'!$H$5="3.5% Declining",BK58*BK77,BK58/((1+BK$78)^BK$4))</f>
        <v>0</v>
      </c>
      <c r="BL90" s="593">
        <f>IF('Data entry'!$H$5="3.5% Declining",BL58*BL77,BL58/((1+BL$78)^BL$4))</f>
        <v>0</v>
      </c>
      <c r="BM90" s="593">
        <f>IF('Data entry'!$H$5="3.5% Declining",BM58*BM77,BM58/((1+BM$78)^BM$4))</f>
        <v>0</v>
      </c>
      <c r="BN90" s="593">
        <f>IF('Data entry'!$H$5="3.5% Declining",BN58*BN77,BN58/((1+BN$78)^BN$4))</f>
        <v>0</v>
      </c>
      <c r="BO90" s="593">
        <f>IF('Data entry'!$H$5="3.5% Declining",BO58*BO77,BO58/((1+BO$78)^BO$4))</f>
        <v>0</v>
      </c>
      <c r="BP90" s="593">
        <f>IF('Data entry'!$H$5="3.5% Declining",BP58*BP77,BP58/((1+BP$78)^BP$4))</f>
        <v>0</v>
      </c>
      <c r="BQ90" s="593">
        <f>IF('Data entry'!$H$5="3.5% Declining",BQ58*BQ77,BQ58/((1+BQ$78)^BQ$4))</f>
        <v>0</v>
      </c>
      <c r="BR90" s="593">
        <f>IF('Data entry'!$H$5="3.5% Declining",BR58*BR77,BR58/((1+BR$78)^BR$4))</f>
        <v>0</v>
      </c>
      <c r="BS90" s="593">
        <f>IF('Data entry'!$H$5="3.5% Declining",BS58*BS77,BS58/((1+BS$78)^BS$4))</f>
        <v>0</v>
      </c>
      <c r="BT90" s="593">
        <f>IF('Data entry'!$H$5="3.5% Declining",BT58*BT77,BT58/((1+BT$78)^BT$4))</f>
        <v>0</v>
      </c>
      <c r="BU90" s="593">
        <f>IF('Data entry'!$H$5="3.5% Declining",BU58*BU77,BU58/((1+BU$78)^BU$4))</f>
        <v>0</v>
      </c>
      <c r="BV90" s="593">
        <f>IF('Data entry'!$H$5="3.5% Declining",BV58*BV77,BV58/((1+BV$78)^BV$4))</f>
        <v>0</v>
      </c>
      <c r="BW90" s="593">
        <f>IF('Data entry'!$H$5="3.5% Declining",BW58*BW77,BW58/((1+BW$78)^BW$4))</f>
        <v>0</v>
      </c>
      <c r="BX90" s="593">
        <f>IF('Data entry'!$H$5="3.5% Declining",BX58*BX77,BX58/((1+BX$78)^BX$4))</f>
        <v>0</v>
      </c>
      <c r="BY90" s="593">
        <f>IF('Data entry'!$H$5="3.5% Declining",BY58*BY77,BY58/((1+BY$78)^BY$4))</f>
        <v>0</v>
      </c>
      <c r="BZ90" s="593">
        <f>IF('Data entry'!$H$5="3.5% Declining",BZ58*BZ77,BZ58/((1+BZ$78)^BZ$4))</f>
        <v>0</v>
      </c>
      <c r="CA90" s="594">
        <f>IF('Data entry'!$H$5="3.5% Declining",CA58*CA77,CA58/((1+CA$78)^CA$4))</f>
        <v>0</v>
      </c>
      <c r="CB90" s="593">
        <f>IF('Data entry'!$H$5="3.5% Declining",CB58*CB77,CB58/((1+CB$78)^CB$4))</f>
        <v>0</v>
      </c>
      <c r="CC90" s="593">
        <f>IF('Data entry'!$H$5="3.5% Declining",CC58*CC77,CC58/((1+CC$78)^CC$4))</f>
        <v>0</v>
      </c>
      <c r="CD90" s="593">
        <f>IF('Data entry'!$H$5="3.5% Declining",CD58*CD77,CD58/((1+CD$78)^CD$4))</f>
        <v>0</v>
      </c>
      <c r="CE90" s="593">
        <f>IF('Data entry'!$H$5="3.5% Declining",CE58*CE77,CE58/((1+CE$78)^CE$4))</f>
        <v>0</v>
      </c>
      <c r="CF90" s="593">
        <f>IF('Data entry'!$H$5="3.5% Declining",CF58*CF77,CF58/((1+CF$78)^CF$4))</f>
        <v>0</v>
      </c>
      <c r="CG90" s="593">
        <f>IF('Data entry'!$H$5="3.5% Declining",CG58*CG77,CG58/((1+CG$78)^CG$4))</f>
        <v>0</v>
      </c>
      <c r="CH90" s="593">
        <f>IF('Data entry'!$H$5="3.5% Declining",CH58*CH77,CH58/((1+CH$78)^CH$4))</f>
        <v>0</v>
      </c>
      <c r="CI90" s="593">
        <f>IF('Data entry'!$H$5="3.5% Declining",CI58*CI77,CI58/((1+CI$78)^CI$4))</f>
        <v>0</v>
      </c>
      <c r="CJ90" s="593">
        <f>IF('Data entry'!$H$5="3.5% Declining",CJ58*CJ77,CJ58/((1+CJ$78)^CJ$4))</f>
        <v>0</v>
      </c>
      <c r="CK90" s="593">
        <f>IF('Data entry'!$H$5="3.5% Declining",CK58*CK77,CK58/((1+CK$78)^CK$4))</f>
        <v>0</v>
      </c>
      <c r="CL90" s="593">
        <f>IF('Data entry'!$H$5="3.5% Declining",CL58*CL77,CL58/((1+CL$78)^CL$4))</f>
        <v>0</v>
      </c>
      <c r="CM90" s="593">
        <f>IF('Data entry'!$H$5="3.5% Declining",CM58*CM77,CM58/((1+CM$78)^CM$4))</f>
        <v>0</v>
      </c>
      <c r="CN90" s="593">
        <f>IF('Data entry'!$H$5="3.5% Declining",CN58*CN77,CN58/((1+CN$78)^CN$4))</f>
        <v>0</v>
      </c>
      <c r="CO90" s="593">
        <f>IF('Data entry'!$H$5="3.5% Declining",CO58*CO77,CO58/((1+CO$78)^CO$4))</f>
        <v>0</v>
      </c>
      <c r="CP90" s="593">
        <f>IF('Data entry'!$H$5="3.5% Declining",CP58*CP77,CP58/((1+CP$78)^CP$4))</f>
        <v>0</v>
      </c>
      <c r="CQ90" s="593">
        <f>IF('Data entry'!$H$5="3.5% Declining",CQ58*CQ77,CQ58/((1+CQ$78)^CQ$4))</f>
        <v>0</v>
      </c>
      <c r="CR90" s="593">
        <f>IF('Data entry'!$H$5="3.5% Declining",CR58*CR77,CR58/((1+CR$78)^CR$4))</f>
        <v>0</v>
      </c>
      <c r="CS90" s="593">
        <f>IF('Data entry'!$H$5="3.5% Declining",CS58*CS77,CS58/((1+CS$78)^CS$4))</f>
        <v>0</v>
      </c>
      <c r="CT90" s="593">
        <f>IF('Data entry'!$H$5="3.5% Declining",CT58*CT77,CT58/((1+CT$78)^CT$4))</f>
        <v>0</v>
      </c>
      <c r="CU90" s="593">
        <f>IF('Data entry'!$H$5="3.5% Declining",CU58*CU77,CU58/((1+CU$78)^CU$4))</f>
        <v>0</v>
      </c>
      <c r="CV90" s="593">
        <f>IF('Data entry'!$H$5="3.5% Declining",CV58*CV77,CV58/((1+CV$78)^CV$4))</f>
        <v>0</v>
      </c>
      <c r="CW90" s="593">
        <f>IF('Data entry'!$H$5="3.5% Declining",CW58*CW77,CW58/((1+CW$78)^CW$4))</f>
        <v>0</v>
      </c>
      <c r="CX90" s="593">
        <f>IF('Data entry'!$H$5="3.5% Declining",CX58*CX77,CX58/((1+CX$78)^CX$4))</f>
        <v>0</v>
      </c>
      <c r="CY90" s="595">
        <f>IF('Data entry'!$H$5="3.5% Declining",CY58*CY77,CY58/((1+CY$78)^CY$4))</f>
        <v>0</v>
      </c>
    </row>
    <row r="91" spans="1:103" ht="15" customHeight="1" x14ac:dyDescent="0.35">
      <c r="A91" s="590" t="str">
        <f t="shared" si="44"/>
        <v>Discounted One-off payments/sponsorships/donations (specify)</v>
      </c>
      <c r="B91" s="591"/>
      <c r="C91" s="592">
        <f t="shared" si="43"/>
        <v>0</v>
      </c>
      <c r="D91" s="593">
        <f>IF('Data entry'!$H$5="3.5% Declining",D59*D77,D59/((1+D$78)^D$4))</f>
        <v>0</v>
      </c>
      <c r="E91" s="593">
        <f>IF('Data entry'!$H$5="3.5% Declining",E59*E77,E59/((1+E$78)^E$4))</f>
        <v>0</v>
      </c>
      <c r="F91" s="593">
        <f>IF('Data entry'!$H$5="3.5% Declining",F59*F77,F59/((1+F$78)^F$4))</f>
        <v>0</v>
      </c>
      <c r="G91" s="593">
        <f>IF('Data entry'!$H$5="3.5% Declining",G59*G77,G59/((1+G$78)^G$4))</f>
        <v>0</v>
      </c>
      <c r="H91" s="593">
        <f>IF('Data entry'!$H$5="3.5% Declining",H59*H77,H59/((1+H$78)^H$4))</f>
        <v>0</v>
      </c>
      <c r="I91" s="593">
        <f>IF('Data entry'!$H$5="3.5% Declining",I59*I77,I59/((1+I$78)^I$4))</f>
        <v>0</v>
      </c>
      <c r="J91" s="593">
        <f>IF('Data entry'!$H$5="3.5% Declining",J59*J77,J59/((1+J$78)^J$4))</f>
        <v>0</v>
      </c>
      <c r="K91" s="593">
        <f>IF('Data entry'!$H$5="3.5% Declining",K59*K77,K59/((1+K$78)^K$4))</f>
        <v>0</v>
      </c>
      <c r="L91" s="593">
        <f>IF('Data entry'!$H$5="3.5% Declining",L59*L77,L59/((1+L$78)^L$4))</f>
        <v>0</v>
      </c>
      <c r="M91" s="593">
        <f>IF('Data entry'!$H$5="3.5% Declining",M59*M77,M59/((1+M$78)^M$4))</f>
        <v>0</v>
      </c>
      <c r="N91" s="593">
        <f>IF('Data entry'!$H$5="3.5% Declining",N59*N77,N59/((1+N$78)^N$4))</f>
        <v>0</v>
      </c>
      <c r="O91" s="593">
        <f>IF('Data entry'!$H$5="3.5% Declining",O59*O77,O59/((1+O$78)^O$4))</f>
        <v>0</v>
      </c>
      <c r="P91" s="593">
        <f>IF('Data entry'!$H$5="3.5% Declining",P59*P77,P59/((1+P$78)^P$4))</f>
        <v>0</v>
      </c>
      <c r="Q91" s="593">
        <f>IF('Data entry'!$H$5="3.5% Declining",Q59*Q77,Q59/((1+Q$78)^Q$4))</f>
        <v>0</v>
      </c>
      <c r="R91" s="593">
        <f>IF('Data entry'!$H$5="3.5% Declining",R59*R77,R59/((1+R$78)^R$4))</f>
        <v>0</v>
      </c>
      <c r="S91" s="593">
        <f>IF('Data entry'!$H$5="3.5% Declining",S59*S77,S59/((1+S$78)^S$4))</f>
        <v>0</v>
      </c>
      <c r="T91" s="593">
        <f>IF('Data entry'!$H$5="3.5% Declining",T59*T77,T59/((1+T$78)^T$4))</f>
        <v>0</v>
      </c>
      <c r="U91" s="593">
        <f>IF('Data entry'!$H$5="3.5% Declining",U59*U77,U59/((1+U$78)^U$4))</f>
        <v>0</v>
      </c>
      <c r="V91" s="593">
        <f>IF('Data entry'!$H$5="3.5% Declining",V59*V77,V59/((1+V$78)^V$4))</f>
        <v>0</v>
      </c>
      <c r="W91" s="593">
        <f>IF('Data entry'!$H$5="3.5% Declining",W59*W77,W59/((1+W$78)^W$4))</f>
        <v>0</v>
      </c>
      <c r="X91" s="593">
        <f>IF('Data entry'!$H$5="3.5% Declining",X59*X77,X59/((1+X$78)^X$4))</f>
        <v>0</v>
      </c>
      <c r="Y91" s="593">
        <f>IF('Data entry'!$H$5="3.5% Declining",Y59*Y77,Y59/((1+Y$78)^Y$4))</f>
        <v>0</v>
      </c>
      <c r="Z91" s="593">
        <f>IF('Data entry'!$H$5="3.5% Declining",Z59*Z77,Z59/((1+Z$78)^Z$4))</f>
        <v>0</v>
      </c>
      <c r="AA91" s="593">
        <f>IF('Data entry'!$H$5="3.5% Declining",AA59*AA77,AA59/((1+AA$78)^AA$4))</f>
        <v>0</v>
      </c>
      <c r="AB91" s="593">
        <f>IF('Data entry'!$H$5="3.5% Declining",AB59*AB77,AB59/((1+AB$78)^AB$4))</f>
        <v>0</v>
      </c>
      <c r="AC91" s="593">
        <f>IF('Data entry'!$H$5="3.5% Declining",AC59*AC77,AC59/((1+AC$78)^AC$4))</f>
        <v>0</v>
      </c>
      <c r="AD91" s="593">
        <f>IF('Data entry'!$H$5="3.5% Declining",AD59*AD77,AD59/((1+AD$78)^AD$4))</f>
        <v>0</v>
      </c>
      <c r="AE91" s="593">
        <f>IF('Data entry'!$H$5="3.5% Declining",AE59*AE77,AE59/((1+AE$78)^AE$4))</f>
        <v>0</v>
      </c>
      <c r="AF91" s="593">
        <f>IF('Data entry'!$H$5="3.5% Declining",AF59*AF77,AF59/((1+AF$78)^AF$4))</f>
        <v>0</v>
      </c>
      <c r="AG91" s="593">
        <f>IF('Data entry'!$H$5="3.5% Declining",AG59*AG77,AG59/((1+AG$78)^AG$4))</f>
        <v>0</v>
      </c>
      <c r="AH91" s="593">
        <f>IF('Data entry'!$H$5="3.5% Declining",AH59*AH77,AH59/((1+AH$78)^AH$4))</f>
        <v>0</v>
      </c>
      <c r="AI91" s="593">
        <f>IF('Data entry'!$H$5="3.5% Declining",AI59*AI77,AI59/((1+AI$78)^AI$4))</f>
        <v>0</v>
      </c>
      <c r="AJ91" s="593">
        <f>IF('Data entry'!$H$5="3.5% Declining",AJ59*AJ77,AJ59/((1+AJ$78)^AJ$4))</f>
        <v>0</v>
      </c>
      <c r="AK91" s="593">
        <f>IF('Data entry'!$H$5="3.5% Declining",AK59*AK77,AK59/((1+AK$78)^AK$4))</f>
        <v>0</v>
      </c>
      <c r="AL91" s="593">
        <f>IF('Data entry'!$H$5="3.5% Declining",AL59*AL77,AL59/((1+AL$78)^AL$4))</f>
        <v>0</v>
      </c>
      <c r="AM91" s="593">
        <f>IF('Data entry'!$H$5="3.5% Declining",AM59*AM77,AM59/((1+AM$78)^AM$4))</f>
        <v>0</v>
      </c>
      <c r="AN91" s="593">
        <f>IF('Data entry'!$H$5="3.5% Declining",AN59*AN77,AN59/((1+AN$78)^AN$4))</f>
        <v>0</v>
      </c>
      <c r="AO91" s="594">
        <f>IF('Data entry'!$H$5="3.5% Declining",AO59*AO77,AO59/((1+AO$78)^AO$4))</f>
        <v>0</v>
      </c>
      <c r="AP91" s="593">
        <f>IF('Data entry'!$H$5="3.5% Declining",AP59*AP77,AP59/((1+AP$78)^AP$4))</f>
        <v>0</v>
      </c>
      <c r="AQ91" s="593">
        <f>IF('Data entry'!$H$5="3.5% Declining",AQ59*AQ77,AQ59/((1+AQ$78)^AQ$4))</f>
        <v>0</v>
      </c>
      <c r="AR91" s="593">
        <f>IF('Data entry'!$H$5="3.5% Declining",AR59*AR77,AR59/((1+AR$78)^AR$4))</f>
        <v>0</v>
      </c>
      <c r="AS91" s="593">
        <f>IF('Data entry'!$H$5="3.5% Declining",AS59*AS77,AS59/((1+AS$78)^AS$4))</f>
        <v>0</v>
      </c>
      <c r="AT91" s="593">
        <f>IF('Data entry'!$H$5="3.5% Declining",AT59*AT77,AT59/((1+AT$78)^AT$4))</f>
        <v>0</v>
      </c>
      <c r="AU91" s="593">
        <f>IF('Data entry'!$H$5="3.5% Declining",AU59*AU77,AU59/((1+AU$78)^AU$4))</f>
        <v>0</v>
      </c>
      <c r="AV91" s="593">
        <f>IF('Data entry'!$H$5="3.5% Declining",AV59*AV77,AV59/((1+AV$78)^AV$4))</f>
        <v>0</v>
      </c>
      <c r="AW91" s="593">
        <f>IF('Data entry'!$H$5="3.5% Declining",AW59*AW77,AW59/((1+AW$78)^AW$4))</f>
        <v>0</v>
      </c>
      <c r="AX91" s="593">
        <f>IF('Data entry'!$H$5="3.5% Declining",AX59*AX77,AX59/((1+AX$78)^AX$4))</f>
        <v>0</v>
      </c>
      <c r="AY91" s="593">
        <f>IF('Data entry'!$H$5="3.5% Declining",AY59*AY77,AY59/((1+AY$78)^AY$4))</f>
        <v>0</v>
      </c>
      <c r="AZ91" s="593">
        <f>IF('Data entry'!$H$5="3.5% Declining",AZ59*AZ77,AZ59/((1+AZ$78)^AZ$4))</f>
        <v>0</v>
      </c>
      <c r="BA91" s="593">
        <f>IF('Data entry'!$H$5="3.5% Declining",BA59*BA77,BA59/((1+BA$78)^BA$4))</f>
        <v>0</v>
      </c>
      <c r="BB91" s="593">
        <f>IF('Data entry'!$H$5="3.5% Declining",BB59*BB77,BB59/((1+BB$78)^BB$4))</f>
        <v>0</v>
      </c>
      <c r="BC91" s="593">
        <f>IF('Data entry'!$H$5="3.5% Declining",BC59*BC77,BC59/((1+BC$78)^BC$4))</f>
        <v>0</v>
      </c>
      <c r="BD91" s="593">
        <f>IF('Data entry'!$H$5="3.5% Declining",BD59*BD77,BD59/((1+BD$78)^BD$4))</f>
        <v>0</v>
      </c>
      <c r="BE91" s="593">
        <f>IF('Data entry'!$H$5="3.5% Declining",BE59*BE77,BE59/((1+BE$78)^BE$4))</f>
        <v>0</v>
      </c>
      <c r="BF91" s="593">
        <f>IF('Data entry'!$H$5="3.5% Declining",BF59*BF77,BF59/((1+BF$78)^BF$4))</f>
        <v>0</v>
      </c>
      <c r="BG91" s="593">
        <f>IF('Data entry'!$H$5="3.5% Declining",BG59*BG77,BG59/((1+BG$78)^BG$4))</f>
        <v>0</v>
      </c>
      <c r="BH91" s="593">
        <f>IF('Data entry'!$H$5="3.5% Declining",BH59*BH77,BH59/((1+BH$78)^BH$4))</f>
        <v>0</v>
      </c>
      <c r="BI91" s="593">
        <f>IF('Data entry'!$H$5="3.5% Declining",BI59*BI77,BI59/((1+BI$78)^BI$4))</f>
        <v>0</v>
      </c>
      <c r="BJ91" s="593">
        <f>IF('Data entry'!$H$5="3.5% Declining",BJ59*BJ77,BJ59/((1+BJ$78)^BJ$4))</f>
        <v>0</v>
      </c>
      <c r="BK91" s="594">
        <f>IF('Data entry'!$H$5="3.5% Declining",BK59*BK77,BK59/((1+BK$78)^BK$4))</f>
        <v>0</v>
      </c>
      <c r="BL91" s="593">
        <f>IF('Data entry'!$H$5="3.5% Declining",BL59*BL77,BL59/((1+BL$78)^BL$4))</f>
        <v>0</v>
      </c>
      <c r="BM91" s="593">
        <f>IF('Data entry'!$H$5="3.5% Declining",BM59*BM77,BM59/((1+BM$78)^BM$4))</f>
        <v>0</v>
      </c>
      <c r="BN91" s="593">
        <f>IF('Data entry'!$H$5="3.5% Declining",BN59*BN77,BN59/((1+BN$78)^BN$4))</f>
        <v>0</v>
      </c>
      <c r="BO91" s="593">
        <f>IF('Data entry'!$H$5="3.5% Declining",BO59*BO77,BO59/((1+BO$78)^BO$4))</f>
        <v>0</v>
      </c>
      <c r="BP91" s="593">
        <f>IF('Data entry'!$H$5="3.5% Declining",BP59*BP77,BP59/((1+BP$78)^BP$4))</f>
        <v>0</v>
      </c>
      <c r="BQ91" s="593">
        <f>IF('Data entry'!$H$5="3.5% Declining",BQ59*BQ77,BQ59/((1+BQ$78)^BQ$4))</f>
        <v>0</v>
      </c>
      <c r="BR91" s="593">
        <f>IF('Data entry'!$H$5="3.5% Declining",BR59*BR77,BR59/((1+BR$78)^BR$4))</f>
        <v>0</v>
      </c>
      <c r="BS91" s="593">
        <f>IF('Data entry'!$H$5="3.5% Declining",BS59*BS77,BS59/((1+BS$78)^BS$4))</f>
        <v>0</v>
      </c>
      <c r="BT91" s="593">
        <f>IF('Data entry'!$H$5="3.5% Declining",BT59*BT77,BT59/((1+BT$78)^BT$4))</f>
        <v>0</v>
      </c>
      <c r="BU91" s="593">
        <f>IF('Data entry'!$H$5="3.5% Declining",BU59*BU77,BU59/((1+BU$78)^BU$4))</f>
        <v>0</v>
      </c>
      <c r="BV91" s="593">
        <f>IF('Data entry'!$H$5="3.5% Declining",BV59*BV77,BV59/((1+BV$78)^BV$4))</f>
        <v>0</v>
      </c>
      <c r="BW91" s="593">
        <f>IF('Data entry'!$H$5="3.5% Declining",BW59*BW77,BW59/((1+BW$78)^BW$4))</f>
        <v>0</v>
      </c>
      <c r="BX91" s="593">
        <f>IF('Data entry'!$H$5="3.5% Declining",BX59*BX77,BX59/((1+BX$78)^BX$4))</f>
        <v>0</v>
      </c>
      <c r="BY91" s="593">
        <f>IF('Data entry'!$H$5="3.5% Declining",BY59*BY77,BY59/((1+BY$78)^BY$4))</f>
        <v>0</v>
      </c>
      <c r="BZ91" s="593">
        <f>IF('Data entry'!$H$5="3.5% Declining",BZ59*BZ77,BZ59/((1+BZ$78)^BZ$4))</f>
        <v>0</v>
      </c>
      <c r="CA91" s="594">
        <f>IF('Data entry'!$H$5="3.5% Declining",CA59*CA77,CA59/((1+CA$78)^CA$4))</f>
        <v>0</v>
      </c>
      <c r="CB91" s="593">
        <f>IF('Data entry'!$H$5="3.5% Declining",CB59*CB77,CB59/((1+CB$78)^CB$4))</f>
        <v>0</v>
      </c>
      <c r="CC91" s="593">
        <f>IF('Data entry'!$H$5="3.5% Declining",CC59*CC77,CC59/((1+CC$78)^CC$4))</f>
        <v>0</v>
      </c>
      <c r="CD91" s="593">
        <f>IF('Data entry'!$H$5="3.5% Declining",CD59*CD77,CD59/((1+CD$78)^CD$4))</f>
        <v>0</v>
      </c>
      <c r="CE91" s="593">
        <f>IF('Data entry'!$H$5="3.5% Declining",CE59*CE77,CE59/((1+CE$78)^CE$4))</f>
        <v>0</v>
      </c>
      <c r="CF91" s="593">
        <f>IF('Data entry'!$H$5="3.5% Declining",CF59*CF77,CF59/((1+CF$78)^CF$4))</f>
        <v>0</v>
      </c>
      <c r="CG91" s="593">
        <f>IF('Data entry'!$H$5="3.5% Declining",CG59*CG77,CG59/((1+CG$78)^CG$4))</f>
        <v>0</v>
      </c>
      <c r="CH91" s="593">
        <f>IF('Data entry'!$H$5="3.5% Declining",CH59*CH77,CH59/((1+CH$78)^CH$4))</f>
        <v>0</v>
      </c>
      <c r="CI91" s="593">
        <f>IF('Data entry'!$H$5="3.5% Declining",CI59*CI77,CI59/((1+CI$78)^CI$4))</f>
        <v>0</v>
      </c>
      <c r="CJ91" s="593">
        <f>IF('Data entry'!$H$5="3.5% Declining",CJ59*CJ77,CJ59/((1+CJ$78)^CJ$4))</f>
        <v>0</v>
      </c>
      <c r="CK91" s="593">
        <f>IF('Data entry'!$H$5="3.5% Declining",CK59*CK77,CK59/((1+CK$78)^CK$4))</f>
        <v>0</v>
      </c>
      <c r="CL91" s="593">
        <f>IF('Data entry'!$H$5="3.5% Declining",CL59*CL77,CL59/((1+CL$78)^CL$4))</f>
        <v>0</v>
      </c>
      <c r="CM91" s="593">
        <f>IF('Data entry'!$H$5="3.5% Declining",CM59*CM77,CM59/((1+CM$78)^CM$4))</f>
        <v>0</v>
      </c>
      <c r="CN91" s="593">
        <f>IF('Data entry'!$H$5="3.5% Declining",CN59*CN77,CN59/((1+CN$78)^CN$4))</f>
        <v>0</v>
      </c>
      <c r="CO91" s="593">
        <f>IF('Data entry'!$H$5="3.5% Declining",CO59*CO77,CO59/((1+CO$78)^CO$4))</f>
        <v>0</v>
      </c>
      <c r="CP91" s="593">
        <f>IF('Data entry'!$H$5="3.5% Declining",CP59*CP77,CP59/((1+CP$78)^CP$4))</f>
        <v>0</v>
      </c>
      <c r="CQ91" s="593">
        <f>IF('Data entry'!$H$5="3.5% Declining",CQ59*CQ77,CQ59/((1+CQ$78)^CQ$4))</f>
        <v>0</v>
      </c>
      <c r="CR91" s="593">
        <f>IF('Data entry'!$H$5="3.5% Declining",CR59*CR77,CR59/((1+CR$78)^CR$4))</f>
        <v>0</v>
      </c>
      <c r="CS91" s="593">
        <f>IF('Data entry'!$H$5="3.5% Declining",CS59*CS77,CS59/((1+CS$78)^CS$4))</f>
        <v>0</v>
      </c>
      <c r="CT91" s="593">
        <f>IF('Data entry'!$H$5="3.5% Declining",CT59*CT77,CT59/((1+CT$78)^CT$4))</f>
        <v>0</v>
      </c>
      <c r="CU91" s="593">
        <f>IF('Data entry'!$H$5="3.5% Declining",CU59*CU77,CU59/((1+CU$78)^CU$4))</f>
        <v>0</v>
      </c>
      <c r="CV91" s="593">
        <f>IF('Data entry'!$H$5="3.5% Declining",CV59*CV77,CV59/((1+CV$78)^CV$4))</f>
        <v>0</v>
      </c>
      <c r="CW91" s="593">
        <f>IF('Data entry'!$H$5="3.5% Declining",CW59*CW77,CW59/((1+CW$78)^CW$4))</f>
        <v>0</v>
      </c>
      <c r="CX91" s="593">
        <f>IF('Data entry'!$H$5="3.5% Declining",CX59*CX77,CX59/((1+CX$78)^CX$4))</f>
        <v>0</v>
      </c>
      <c r="CY91" s="595">
        <f>IF('Data entry'!$H$5="3.5% Declining",CY59*CY77,CY59/((1+CY$78)^CY$4))</f>
        <v>0</v>
      </c>
    </row>
    <row r="92" spans="1:103" ht="15" customHeight="1" x14ac:dyDescent="0.35">
      <c r="A92" s="590" t="str">
        <f t="shared" si="44"/>
        <v>Discounted One-off payments/sponsorships/donations (specify)</v>
      </c>
      <c r="B92" s="591"/>
      <c r="C92" s="592">
        <f t="shared" si="43"/>
        <v>0</v>
      </c>
      <c r="D92" s="593">
        <f>IF('Data entry'!$H$5="3.5% Declining",D60*D77,D60/((1+D$78)^D$4))</f>
        <v>0</v>
      </c>
      <c r="E92" s="593">
        <f>IF('Data entry'!$H$5="3.5% Declining",E60*E77,E60/((1+E$78)^E$4))</f>
        <v>0</v>
      </c>
      <c r="F92" s="593">
        <f>IF('Data entry'!$H$5="3.5% Declining",F60*F77,F60/((1+F$78)^F$4))</f>
        <v>0</v>
      </c>
      <c r="G92" s="593">
        <f>IF('Data entry'!$H$5="3.5% Declining",G60*G77,G60/((1+G$78)^G$4))</f>
        <v>0</v>
      </c>
      <c r="H92" s="593">
        <f>IF('Data entry'!$H$5="3.5% Declining",H60*H77,H60/((1+H$78)^H$4))</f>
        <v>0</v>
      </c>
      <c r="I92" s="593">
        <f>IF('Data entry'!$H$5="3.5% Declining",I60*I77,I60/((1+I$78)^I$4))</f>
        <v>0</v>
      </c>
      <c r="J92" s="593">
        <f>IF('Data entry'!$H$5="3.5% Declining",J60*J77,J60/((1+J$78)^J$4))</f>
        <v>0</v>
      </c>
      <c r="K92" s="593">
        <f>IF('Data entry'!$H$5="3.5% Declining",K60*K77,K60/((1+K$78)^K$4))</f>
        <v>0</v>
      </c>
      <c r="L92" s="593">
        <f>IF('Data entry'!$H$5="3.5% Declining",L60*L77,L60/((1+L$78)^L$4))</f>
        <v>0</v>
      </c>
      <c r="M92" s="593">
        <f>IF('Data entry'!$H$5="3.5% Declining",M60*M77,M60/((1+M$78)^M$4))</f>
        <v>0</v>
      </c>
      <c r="N92" s="593">
        <f>IF('Data entry'!$H$5="3.5% Declining",N60*N77,N60/((1+N$78)^N$4))</f>
        <v>0</v>
      </c>
      <c r="O92" s="593">
        <f>IF('Data entry'!$H$5="3.5% Declining",O60*O77,O60/((1+O$78)^O$4))</f>
        <v>0</v>
      </c>
      <c r="P92" s="593">
        <f>IF('Data entry'!$H$5="3.5% Declining",P60*P77,P60/((1+P$78)^P$4))</f>
        <v>0</v>
      </c>
      <c r="Q92" s="593">
        <f>IF('Data entry'!$H$5="3.5% Declining",Q60*Q77,Q60/((1+Q$78)^Q$4))</f>
        <v>0</v>
      </c>
      <c r="R92" s="593">
        <f>IF('Data entry'!$H$5="3.5% Declining",R60*R77,R60/((1+R$78)^R$4))</f>
        <v>0</v>
      </c>
      <c r="S92" s="593">
        <f>IF('Data entry'!$H$5="3.5% Declining",S60*S77,S60/((1+S$78)^S$4))</f>
        <v>0</v>
      </c>
      <c r="T92" s="593">
        <f>IF('Data entry'!$H$5="3.5% Declining",T60*T77,T60/((1+T$78)^T$4))</f>
        <v>0</v>
      </c>
      <c r="U92" s="593">
        <f>IF('Data entry'!$H$5="3.5% Declining",U60*U77,U60/((1+U$78)^U$4))</f>
        <v>0</v>
      </c>
      <c r="V92" s="593">
        <f>IF('Data entry'!$H$5="3.5% Declining",V60*V77,V60/((1+V$78)^V$4))</f>
        <v>0</v>
      </c>
      <c r="W92" s="593">
        <f>IF('Data entry'!$H$5="3.5% Declining",W60*W77,W60/((1+W$78)^W$4))</f>
        <v>0</v>
      </c>
      <c r="X92" s="593">
        <f>IF('Data entry'!$H$5="3.5% Declining",X60*X77,X60/((1+X$78)^X$4))</f>
        <v>0</v>
      </c>
      <c r="Y92" s="593">
        <f>IF('Data entry'!$H$5="3.5% Declining",Y60*Y77,Y60/((1+Y$78)^Y$4))</f>
        <v>0</v>
      </c>
      <c r="Z92" s="593">
        <f>IF('Data entry'!$H$5="3.5% Declining",Z60*Z77,Z60/((1+Z$78)^Z$4))</f>
        <v>0</v>
      </c>
      <c r="AA92" s="593">
        <f>IF('Data entry'!$H$5="3.5% Declining",AA60*AA77,AA60/((1+AA$78)^AA$4))</f>
        <v>0</v>
      </c>
      <c r="AB92" s="593">
        <f>IF('Data entry'!$H$5="3.5% Declining",AB60*AB77,AB60/((1+AB$78)^AB$4))</f>
        <v>0</v>
      </c>
      <c r="AC92" s="593">
        <f>IF('Data entry'!$H$5="3.5% Declining",AC60*AC77,AC60/((1+AC$78)^AC$4))</f>
        <v>0</v>
      </c>
      <c r="AD92" s="593">
        <f>IF('Data entry'!$H$5="3.5% Declining",AD60*AD77,AD60/((1+AD$78)^AD$4))</f>
        <v>0</v>
      </c>
      <c r="AE92" s="593">
        <f>IF('Data entry'!$H$5="3.5% Declining",AE60*AE77,AE60/((1+AE$78)^AE$4))</f>
        <v>0</v>
      </c>
      <c r="AF92" s="593">
        <f>IF('Data entry'!$H$5="3.5% Declining",AF60*AF77,AF60/((1+AF$78)^AF$4))</f>
        <v>0</v>
      </c>
      <c r="AG92" s="593">
        <f>IF('Data entry'!$H$5="3.5% Declining",AG60*AG77,AG60/((1+AG$78)^AG$4))</f>
        <v>0</v>
      </c>
      <c r="AH92" s="593">
        <f>IF('Data entry'!$H$5="3.5% Declining",AH60*AH77,AH60/((1+AH$78)^AH$4))</f>
        <v>0</v>
      </c>
      <c r="AI92" s="593">
        <f>IF('Data entry'!$H$5="3.5% Declining",AI60*AI77,AI60/((1+AI$78)^AI$4))</f>
        <v>0</v>
      </c>
      <c r="AJ92" s="593">
        <f>IF('Data entry'!$H$5="3.5% Declining",AJ60*AJ77,AJ60/((1+AJ$78)^AJ$4))</f>
        <v>0</v>
      </c>
      <c r="AK92" s="593">
        <f>IF('Data entry'!$H$5="3.5% Declining",AK60*AK77,AK60/((1+AK$78)^AK$4))</f>
        <v>0</v>
      </c>
      <c r="AL92" s="593">
        <f>IF('Data entry'!$H$5="3.5% Declining",AL60*AL77,AL60/((1+AL$78)^AL$4))</f>
        <v>0</v>
      </c>
      <c r="AM92" s="593">
        <f>IF('Data entry'!$H$5="3.5% Declining",AM60*AM77,AM60/((1+AM$78)^AM$4))</f>
        <v>0</v>
      </c>
      <c r="AN92" s="593">
        <f>IF('Data entry'!$H$5="3.5% Declining",AN60*AN77,AN60/((1+AN$78)^AN$4))</f>
        <v>0</v>
      </c>
      <c r="AO92" s="594">
        <f>IF('Data entry'!$H$5="3.5% Declining",AO60*AO77,AO60/((1+AO$78)^AO$4))</f>
        <v>0</v>
      </c>
      <c r="AP92" s="593">
        <f>IF('Data entry'!$H$5="3.5% Declining",AP60*AP77,AP60/((1+AP$78)^AP$4))</f>
        <v>0</v>
      </c>
      <c r="AQ92" s="593">
        <f>IF('Data entry'!$H$5="3.5% Declining",AQ60*AQ77,AQ60/((1+AQ$78)^AQ$4))</f>
        <v>0</v>
      </c>
      <c r="AR92" s="593">
        <f>IF('Data entry'!$H$5="3.5% Declining",AR60*AR77,AR60/((1+AR$78)^AR$4))</f>
        <v>0</v>
      </c>
      <c r="AS92" s="593">
        <f>IF('Data entry'!$H$5="3.5% Declining",AS60*AS77,AS60/((1+AS$78)^AS$4))</f>
        <v>0</v>
      </c>
      <c r="AT92" s="593">
        <f>IF('Data entry'!$H$5="3.5% Declining",AT60*AT77,AT60/((1+AT$78)^AT$4))</f>
        <v>0</v>
      </c>
      <c r="AU92" s="593">
        <f>IF('Data entry'!$H$5="3.5% Declining",AU60*AU77,AU60/((1+AU$78)^AU$4))</f>
        <v>0</v>
      </c>
      <c r="AV92" s="593">
        <f>IF('Data entry'!$H$5="3.5% Declining",AV60*AV77,AV60/((1+AV$78)^AV$4))</f>
        <v>0</v>
      </c>
      <c r="AW92" s="593">
        <f>IF('Data entry'!$H$5="3.5% Declining",AW60*AW77,AW60/((1+AW$78)^AW$4))</f>
        <v>0</v>
      </c>
      <c r="AX92" s="593">
        <f>IF('Data entry'!$H$5="3.5% Declining",AX60*AX77,AX60/((1+AX$78)^AX$4))</f>
        <v>0</v>
      </c>
      <c r="AY92" s="593">
        <f>IF('Data entry'!$H$5="3.5% Declining",AY60*AY77,AY60/((1+AY$78)^AY$4))</f>
        <v>0</v>
      </c>
      <c r="AZ92" s="593">
        <f>IF('Data entry'!$H$5="3.5% Declining",AZ60*AZ77,AZ60/((1+AZ$78)^AZ$4))</f>
        <v>0</v>
      </c>
      <c r="BA92" s="593">
        <f>IF('Data entry'!$H$5="3.5% Declining",BA60*BA77,BA60/((1+BA$78)^BA$4))</f>
        <v>0</v>
      </c>
      <c r="BB92" s="593">
        <f>IF('Data entry'!$H$5="3.5% Declining",BB60*BB77,BB60/((1+BB$78)^BB$4))</f>
        <v>0</v>
      </c>
      <c r="BC92" s="593">
        <f>IF('Data entry'!$H$5="3.5% Declining",BC60*BC77,BC60/((1+BC$78)^BC$4))</f>
        <v>0</v>
      </c>
      <c r="BD92" s="593">
        <f>IF('Data entry'!$H$5="3.5% Declining",BD60*BD77,BD60/((1+BD$78)^BD$4))</f>
        <v>0</v>
      </c>
      <c r="BE92" s="593">
        <f>IF('Data entry'!$H$5="3.5% Declining",BE60*BE77,BE60/((1+BE$78)^BE$4))</f>
        <v>0</v>
      </c>
      <c r="BF92" s="593">
        <f>IF('Data entry'!$H$5="3.5% Declining",BF60*BF77,BF60/((1+BF$78)^BF$4))</f>
        <v>0</v>
      </c>
      <c r="BG92" s="593">
        <f>IF('Data entry'!$H$5="3.5% Declining",BG60*BG77,BG60/((1+BG$78)^BG$4))</f>
        <v>0</v>
      </c>
      <c r="BH92" s="593">
        <f>IF('Data entry'!$H$5="3.5% Declining",BH60*BH77,BH60/((1+BH$78)^BH$4))</f>
        <v>0</v>
      </c>
      <c r="BI92" s="593">
        <f>IF('Data entry'!$H$5="3.5% Declining",BI60*BI77,BI60/((1+BI$78)^BI$4))</f>
        <v>0</v>
      </c>
      <c r="BJ92" s="593">
        <f>IF('Data entry'!$H$5="3.5% Declining",BJ60*BJ77,BJ60/((1+BJ$78)^BJ$4))</f>
        <v>0</v>
      </c>
      <c r="BK92" s="594">
        <f>IF('Data entry'!$H$5="3.5% Declining",BK60*BK77,BK60/((1+BK$78)^BK$4))</f>
        <v>0</v>
      </c>
      <c r="BL92" s="593">
        <f>IF('Data entry'!$H$5="3.5% Declining",BL60*BL77,BL60/((1+BL$78)^BL$4))</f>
        <v>0</v>
      </c>
      <c r="BM92" s="593">
        <f>IF('Data entry'!$H$5="3.5% Declining",BM60*BM77,BM60/((1+BM$78)^BM$4))</f>
        <v>0</v>
      </c>
      <c r="BN92" s="593">
        <f>IF('Data entry'!$H$5="3.5% Declining",BN60*BN77,BN60/((1+BN$78)^BN$4))</f>
        <v>0</v>
      </c>
      <c r="BO92" s="593">
        <f>IF('Data entry'!$H$5="3.5% Declining",BO60*BO77,BO60/((1+BO$78)^BO$4))</f>
        <v>0</v>
      </c>
      <c r="BP92" s="593">
        <f>IF('Data entry'!$H$5="3.5% Declining",BP60*BP77,BP60/((1+BP$78)^BP$4))</f>
        <v>0</v>
      </c>
      <c r="BQ92" s="593">
        <f>IF('Data entry'!$H$5="3.5% Declining",BQ60*BQ77,BQ60/((1+BQ$78)^BQ$4))</f>
        <v>0</v>
      </c>
      <c r="BR92" s="593">
        <f>IF('Data entry'!$H$5="3.5% Declining",BR60*BR77,BR60/((1+BR$78)^BR$4))</f>
        <v>0</v>
      </c>
      <c r="BS92" s="593">
        <f>IF('Data entry'!$H$5="3.5% Declining",BS60*BS77,BS60/((1+BS$78)^BS$4))</f>
        <v>0</v>
      </c>
      <c r="BT92" s="593">
        <f>IF('Data entry'!$H$5="3.5% Declining",BT60*BT77,BT60/((1+BT$78)^BT$4))</f>
        <v>0</v>
      </c>
      <c r="BU92" s="593">
        <f>IF('Data entry'!$H$5="3.5% Declining",BU60*BU77,BU60/((1+BU$78)^BU$4))</f>
        <v>0</v>
      </c>
      <c r="BV92" s="593">
        <f>IF('Data entry'!$H$5="3.5% Declining",BV60*BV77,BV60/((1+BV$78)^BV$4))</f>
        <v>0</v>
      </c>
      <c r="BW92" s="593">
        <f>IF('Data entry'!$H$5="3.5% Declining",BW60*BW77,BW60/((1+BW$78)^BW$4))</f>
        <v>0</v>
      </c>
      <c r="BX92" s="593">
        <f>IF('Data entry'!$H$5="3.5% Declining",BX60*BX77,BX60/((1+BX$78)^BX$4))</f>
        <v>0</v>
      </c>
      <c r="BY92" s="593">
        <f>IF('Data entry'!$H$5="3.5% Declining",BY60*BY77,BY60/((1+BY$78)^BY$4))</f>
        <v>0</v>
      </c>
      <c r="BZ92" s="593">
        <f>IF('Data entry'!$H$5="3.5% Declining",BZ60*BZ77,BZ60/((1+BZ$78)^BZ$4))</f>
        <v>0</v>
      </c>
      <c r="CA92" s="594">
        <f>IF('Data entry'!$H$5="3.5% Declining",CA60*CA77,CA60/((1+CA$78)^CA$4))</f>
        <v>0</v>
      </c>
      <c r="CB92" s="593">
        <f>IF('Data entry'!$H$5="3.5% Declining",CB60*CB77,CB60/((1+CB$78)^CB$4))</f>
        <v>0</v>
      </c>
      <c r="CC92" s="593">
        <f>IF('Data entry'!$H$5="3.5% Declining",CC60*CC77,CC60/((1+CC$78)^CC$4))</f>
        <v>0</v>
      </c>
      <c r="CD92" s="593">
        <f>IF('Data entry'!$H$5="3.5% Declining",CD60*CD77,CD60/((1+CD$78)^CD$4))</f>
        <v>0</v>
      </c>
      <c r="CE92" s="593">
        <f>IF('Data entry'!$H$5="3.5% Declining",CE60*CE77,CE60/((1+CE$78)^CE$4))</f>
        <v>0</v>
      </c>
      <c r="CF92" s="593">
        <f>IF('Data entry'!$H$5="3.5% Declining",CF60*CF77,CF60/((1+CF$78)^CF$4))</f>
        <v>0</v>
      </c>
      <c r="CG92" s="593">
        <f>IF('Data entry'!$H$5="3.5% Declining",CG60*CG77,CG60/((1+CG$78)^CG$4))</f>
        <v>0</v>
      </c>
      <c r="CH92" s="593">
        <f>IF('Data entry'!$H$5="3.5% Declining",CH60*CH77,CH60/((1+CH$78)^CH$4))</f>
        <v>0</v>
      </c>
      <c r="CI92" s="593">
        <f>IF('Data entry'!$H$5="3.5% Declining",CI60*CI77,CI60/((1+CI$78)^CI$4))</f>
        <v>0</v>
      </c>
      <c r="CJ92" s="593">
        <f>IF('Data entry'!$H$5="3.5% Declining",CJ60*CJ77,CJ60/((1+CJ$78)^CJ$4))</f>
        <v>0</v>
      </c>
      <c r="CK92" s="593">
        <f>IF('Data entry'!$H$5="3.5% Declining",CK60*CK77,CK60/((1+CK$78)^CK$4))</f>
        <v>0</v>
      </c>
      <c r="CL92" s="593">
        <f>IF('Data entry'!$H$5="3.5% Declining",CL60*CL77,CL60/((1+CL$78)^CL$4))</f>
        <v>0</v>
      </c>
      <c r="CM92" s="593">
        <f>IF('Data entry'!$H$5="3.5% Declining",CM60*CM77,CM60/((1+CM$78)^CM$4))</f>
        <v>0</v>
      </c>
      <c r="CN92" s="593">
        <f>IF('Data entry'!$H$5="3.5% Declining",CN60*CN77,CN60/((1+CN$78)^CN$4))</f>
        <v>0</v>
      </c>
      <c r="CO92" s="593">
        <f>IF('Data entry'!$H$5="3.5% Declining",CO60*CO77,CO60/((1+CO$78)^CO$4))</f>
        <v>0</v>
      </c>
      <c r="CP92" s="593">
        <f>IF('Data entry'!$H$5="3.5% Declining",CP60*CP77,CP60/((1+CP$78)^CP$4))</f>
        <v>0</v>
      </c>
      <c r="CQ92" s="593">
        <f>IF('Data entry'!$H$5="3.5% Declining",CQ60*CQ77,CQ60/((1+CQ$78)^CQ$4))</f>
        <v>0</v>
      </c>
      <c r="CR92" s="593">
        <f>IF('Data entry'!$H$5="3.5% Declining",CR60*CR77,CR60/((1+CR$78)^CR$4))</f>
        <v>0</v>
      </c>
      <c r="CS92" s="593">
        <f>IF('Data entry'!$H$5="3.5% Declining",CS60*CS77,CS60/((1+CS$78)^CS$4))</f>
        <v>0</v>
      </c>
      <c r="CT92" s="593">
        <f>IF('Data entry'!$H$5="3.5% Declining",CT60*CT77,CT60/((1+CT$78)^CT$4))</f>
        <v>0</v>
      </c>
      <c r="CU92" s="593">
        <f>IF('Data entry'!$H$5="3.5% Declining",CU60*CU77,CU60/((1+CU$78)^CU$4))</f>
        <v>0</v>
      </c>
      <c r="CV92" s="593">
        <f>IF('Data entry'!$H$5="3.5% Declining",CV60*CV77,CV60/((1+CV$78)^CV$4))</f>
        <v>0</v>
      </c>
      <c r="CW92" s="593">
        <f>IF('Data entry'!$H$5="3.5% Declining",CW60*CW77,CW60/((1+CW$78)^CW$4))</f>
        <v>0</v>
      </c>
      <c r="CX92" s="593">
        <f>IF('Data entry'!$H$5="3.5% Declining",CX60*CX77,CX60/((1+CX$78)^CX$4))</f>
        <v>0</v>
      </c>
      <c r="CY92" s="595">
        <f>IF('Data entry'!$H$5="3.5% Declining",CY60*CY77,CY60/((1+CY$78)^CY$4))</f>
        <v>0</v>
      </c>
    </row>
    <row r="93" spans="1:103" ht="15" customHeight="1" thickBot="1" x14ac:dyDescent="0.4">
      <c r="A93" s="590" t="str">
        <f t="shared" si="44"/>
        <v>Discounted One-off payments/sponsorships/donations (specify)</v>
      </c>
      <c r="B93" s="591"/>
      <c r="C93" s="597">
        <f t="shared" si="43"/>
        <v>0</v>
      </c>
      <c r="D93" s="598">
        <f>IF('Data entry'!$H$5="3.5% Declining",D61*D77,D61/((1+D$78)^D$4))</f>
        <v>0</v>
      </c>
      <c r="E93" s="598">
        <f>IF('Data entry'!$H$5="3.5% Declining",E61*E77,E61/((1+E$78)^E$4))</f>
        <v>0</v>
      </c>
      <c r="F93" s="598">
        <f>IF('Data entry'!$H$5="3.5% Declining",F61*F77,F61/((1+F$78)^F$4))</f>
        <v>0</v>
      </c>
      <c r="G93" s="598">
        <f>IF('Data entry'!$H$5="3.5% Declining",G61*G77,G61/((1+G$78)^G$4))</f>
        <v>0</v>
      </c>
      <c r="H93" s="598">
        <f>IF('Data entry'!$H$5="3.5% Declining",H61*H77,H61/((1+H$78)^H$4))</f>
        <v>0</v>
      </c>
      <c r="I93" s="598">
        <f>IF('Data entry'!$H$5="3.5% Declining",I61*I77,I61/((1+I$78)^I$4))</f>
        <v>0</v>
      </c>
      <c r="J93" s="598">
        <f>IF('Data entry'!$H$5="3.5% Declining",J61*J77,J61/((1+J$78)^J$4))</f>
        <v>0</v>
      </c>
      <c r="K93" s="598">
        <f>IF('Data entry'!$H$5="3.5% Declining",K61*K77,K61/((1+K$78)^K$4))</f>
        <v>0</v>
      </c>
      <c r="L93" s="598">
        <f>IF('Data entry'!$H$5="3.5% Declining",L61*L77,L61/((1+L$78)^L$4))</f>
        <v>0</v>
      </c>
      <c r="M93" s="598">
        <f>IF('Data entry'!$H$5="3.5% Declining",M61*M77,M61/((1+M$78)^M$4))</f>
        <v>0</v>
      </c>
      <c r="N93" s="598">
        <f>IF('Data entry'!$H$5="3.5% Declining",N61*N77,N61/((1+N$78)^N$4))</f>
        <v>0</v>
      </c>
      <c r="O93" s="598">
        <f>IF('Data entry'!$H$5="3.5% Declining",O61*O77,O61/((1+O$78)^O$4))</f>
        <v>0</v>
      </c>
      <c r="P93" s="598">
        <f>IF('Data entry'!$H$5="3.5% Declining",P61*P77,P61/((1+P$78)^P$4))</f>
        <v>0</v>
      </c>
      <c r="Q93" s="598">
        <f>IF('Data entry'!$H$5="3.5% Declining",Q61*Q77,Q61/((1+Q$78)^Q$4))</f>
        <v>0</v>
      </c>
      <c r="R93" s="598">
        <f>IF('Data entry'!$H$5="3.5% Declining",R61*R77,R61/((1+R$78)^R$4))</f>
        <v>0</v>
      </c>
      <c r="S93" s="598">
        <f>IF('Data entry'!$H$5="3.5% Declining",S61*S77,S61/((1+S$78)^S$4))</f>
        <v>0</v>
      </c>
      <c r="T93" s="598">
        <f>IF('Data entry'!$H$5="3.5% Declining",T61*T77,T61/((1+T$78)^T$4))</f>
        <v>0</v>
      </c>
      <c r="U93" s="598">
        <f>IF('Data entry'!$H$5="3.5% Declining",U61*U77,U61/((1+U$78)^U$4))</f>
        <v>0</v>
      </c>
      <c r="V93" s="598">
        <f>IF('Data entry'!$H$5="3.5% Declining",V61*V77,V61/((1+V$78)^V$4))</f>
        <v>0</v>
      </c>
      <c r="W93" s="598">
        <f>IF('Data entry'!$H$5="3.5% Declining",W61*W77,W61/((1+W$78)^W$4))</f>
        <v>0</v>
      </c>
      <c r="X93" s="598">
        <f>IF('Data entry'!$H$5="3.5% Declining",X61*X77,X61/((1+X$78)^X$4))</f>
        <v>0</v>
      </c>
      <c r="Y93" s="598">
        <f>IF('Data entry'!$H$5="3.5% Declining",Y61*Y77,Y61/((1+Y$78)^Y$4))</f>
        <v>0</v>
      </c>
      <c r="Z93" s="598">
        <f>IF('Data entry'!$H$5="3.5% Declining",Z61*Z77,Z61/((1+Z$78)^Z$4))</f>
        <v>0</v>
      </c>
      <c r="AA93" s="598">
        <f>IF('Data entry'!$H$5="3.5% Declining",AA61*AA77,AA61/((1+AA$78)^AA$4))</f>
        <v>0</v>
      </c>
      <c r="AB93" s="598">
        <f>IF('Data entry'!$H$5="3.5% Declining",AB61*AB77,AB61/((1+AB$78)^AB$4))</f>
        <v>0</v>
      </c>
      <c r="AC93" s="598">
        <f>IF('Data entry'!$H$5="3.5% Declining",AC61*AC77,AC61/((1+AC$78)^AC$4))</f>
        <v>0</v>
      </c>
      <c r="AD93" s="598">
        <f>IF('Data entry'!$H$5="3.5% Declining",AD61*AD77,AD61/((1+AD$78)^AD$4))</f>
        <v>0</v>
      </c>
      <c r="AE93" s="598">
        <f>IF('Data entry'!$H$5="3.5% Declining",AE61*AE77,AE61/((1+AE$78)^AE$4))</f>
        <v>0</v>
      </c>
      <c r="AF93" s="598">
        <f>IF('Data entry'!$H$5="3.5% Declining",AF61*AF77,AF61/((1+AF$78)^AF$4))</f>
        <v>0</v>
      </c>
      <c r="AG93" s="598">
        <f>IF('Data entry'!$H$5="3.5% Declining",AG61*AG77,AG61/((1+AG$78)^AG$4))</f>
        <v>0</v>
      </c>
      <c r="AH93" s="598">
        <f>IF('Data entry'!$H$5="3.5% Declining",AH61*AH77,AH61/((1+AH$78)^AH$4))</f>
        <v>0</v>
      </c>
      <c r="AI93" s="598">
        <f>IF('Data entry'!$H$5="3.5% Declining",AI61*AI77,AI61/((1+AI$78)^AI$4))</f>
        <v>0</v>
      </c>
      <c r="AJ93" s="598">
        <f>IF('Data entry'!$H$5="3.5% Declining",AJ61*AJ77,AJ61/((1+AJ$78)^AJ$4))</f>
        <v>0</v>
      </c>
      <c r="AK93" s="598">
        <f>IF('Data entry'!$H$5="3.5% Declining",AK61*AK77,AK61/((1+AK$78)^AK$4))</f>
        <v>0</v>
      </c>
      <c r="AL93" s="598">
        <f>IF('Data entry'!$H$5="3.5% Declining",AL61*AL77,AL61/((1+AL$78)^AL$4))</f>
        <v>0</v>
      </c>
      <c r="AM93" s="598">
        <f>IF('Data entry'!$H$5="3.5% Declining",AM61*AM77,AM61/((1+AM$78)^AM$4))</f>
        <v>0</v>
      </c>
      <c r="AN93" s="598">
        <f>IF('Data entry'!$H$5="3.5% Declining",AN61*AN77,AN61/((1+AN$78)^AN$4))</f>
        <v>0</v>
      </c>
      <c r="AO93" s="599">
        <f>IF('Data entry'!$H$5="3.5% Declining",AO61*AO77,AO61/((1+AO$78)^AO$4))</f>
        <v>0</v>
      </c>
      <c r="AP93" s="598">
        <f>IF('Data entry'!$H$5="3.5% Declining",AP61*AP77,AP61/((1+AP$78)^AP$4))</f>
        <v>0</v>
      </c>
      <c r="AQ93" s="598">
        <f>IF('Data entry'!$H$5="3.5% Declining",AQ61*AQ77,AQ61/((1+AQ$78)^AQ$4))</f>
        <v>0</v>
      </c>
      <c r="AR93" s="598">
        <f>IF('Data entry'!$H$5="3.5% Declining",AR61*AR77,AR61/((1+AR$78)^AR$4))</f>
        <v>0</v>
      </c>
      <c r="AS93" s="598">
        <f>IF('Data entry'!$H$5="3.5% Declining",AS61*AS77,AS61/((1+AS$78)^AS$4))</f>
        <v>0</v>
      </c>
      <c r="AT93" s="598">
        <f>IF('Data entry'!$H$5="3.5% Declining",AT61*AT77,AT61/((1+AT$78)^AT$4))</f>
        <v>0</v>
      </c>
      <c r="AU93" s="598">
        <f>IF('Data entry'!$H$5="3.5% Declining",AU61*AU77,AU61/((1+AU$78)^AU$4))</f>
        <v>0</v>
      </c>
      <c r="AV93" s="598">
        <f>IF('Data entry'!$H$5="3.5% Declining",AV61*AV77,AV61/((1+AV$78)^AV$4))</f>
        <v>0</v>
      </c>
      <c r="AW93" s="598">
        <f>IF('Data entry'!$H$5="3.5% Declining",AW61*AW77,AW61/((1+AW$78)^AW$4))</f>
        <v>0</v>
      </c>
      <c r="AX93" s="598">
        <f>IF('Data entry'!$H$5="3.5% Declining",AX61*AX77,AX61/((1+AX$78)^AX$4))</f>
        <v>0</v>
      </c>
      <c r="AY93" s="598">
        <f>IF('Data entry'!$H$5="3.5% Declining",AY61*AY77,AY61/((1+AY$78)^AY$4))</f>
        <v>0</v>
      </c>
      <c r="AZ93" s="598">
        <f>IF('Data entry'!$H$5="3.5% Declining",AZ61*AZ77,AZ61/((1+AZ$78)^AZ$4))</f>
        <v>0</v>
      </c>
      <c r="BA93" s="598">
        <f>IF('Data entry'!$H$5="3.5% Declining",BA61*BA77,BA61/((1+BA$78)^BA$4))</f>
        <v>0</v>
      </c>
      <c r="BB93" s="598">
        <f>IF('Data entry'!$H$5="3.5% Declining",BB61*BB77,BB61/((1+BB$78)^BB$4))</f>
        <v>0</v>
      </c>
      <c r="BC93" s="598">
        <f>IF('Data entry'!$H$5="3.5% Declining",BC61*BC77,BC61/((1+BC$78)^BC$4))</f>
        <v>0</v>
      </c>
      <c r="BD93" s="598">
        <f>IF('Data entry'!$H$5="3.5% Declining",BD61*BD77,BD61/((1+BD$78)^BD$4))</f>
        <v>0</v>
      </c>
      <c r="BE93" s="598">
        <f>IF('Data entry'!$H$5="3.5% Declining",BE61*BE77,BE61/((1+BE$78)^BE$4))</f>
        <v>0</v>
      </c>
      <c r="BF93" s="598">
        <f>IF('Data entry'!$H$5="3.5% Declining",BF61*BF77,BF61/((1+BF$78)^BF$4))</f>
        <v>0</v>
      </c>
      <c r="BG93" s="598">
        <f>IF('Data entry'!$H$5="3.5% Declining",BG61*BG77,BG61/((1+BG$78)^BG$4))</f>
        <v>0</v>
      </c>
      <c r="BH93" s="598">
        <f>IF('Data entry'!$H$5="3.5% Declining",BH61*BH77,BH61/((1+BH$78)^BH$4))</f>
        <v>0</v>
      </c>
      <c r="BI93" s="598">
        <f>IF('Data entry'!$H$5="3.5% Declining",BI61*BI77,BI61/((1+BI$78)^BI$4))</f>
        <v>0</v>
      </c>
      <c r="BJ93" s="598">
        <f>IF('Data entry'!$H$5="3.5% Declining",BJ61*BJ77,BJ61/((1+BJ$78)^BJ$4))</f>
        <v>0</v>
      </c>
      <c r="BK93" s="599">
        <f>IF('Data entry'!$H$5="3.5% Declining",BK61*BK77,BK61/((1+BK$78)^BK$4))</f>
        <v>0</v>
      </c>
      <c r="BL93" s="598">
        <f>IF('Data entry'!$H$5="3.5% Declining",BL61*BL77,BL61/((1+BL$78)^BL$4))</f>
        <v>0</v>
      </c>
      <c r="BM93" s="598">
        <f>IF('Data entry'!$H$5="3.5% Declining",BM61*BM77,BM61/((1+BM$78)^BM$4))</f>
        <v>0</v>
      </c>
      <c r="BN93" s="598">
        <f>IF('Data entry'!$H$5="3.5% Declining",BN61*BN77,BN61/((1+BN$78)^BN$4))</f>
        <v>0</v>
      </c>
      <c r="BO93" s="598">
        <f>IF('Data entry'!$H$5="3.5% Declining",BO61*BO77,BO61/((1+BO$78)^BO$4))</f>
        <v>0</v>
      </c>
      <c r="BP93" s="598">
        <f>IF('Data entry'!$H$5="3.5% Declining",BP61*BP77,BP61/((1+BP$78)^BP$4))</f>
        <v>0</v>
      </c>
      <c r="BQ93" s="598">
        <f>IF('Data entry'!$H$5="3.5% Declining",BQ61*BQ77,BQ61/((1+BQ$78)^BQ$4))</f>
        <v>0</v>
      </c>
      <c r="BR93" s="598">
        <f>IF('Data entry'!$H$5="3.5% Declining",BR61*BR77,BR61/((1+BR$78)^BR$4))</f>
        <v>0</v>
      </c>
      <c r="BS93" s="598">
        <f>IF('Data entry'!$H$5="3.5% Declining",BS61*BS77,BS61/((1+BS$78)^BS$4))</f>
        <v>0</v>
      </c>
      <c r="BT93" s="598">
        <f>IF('Data entry'!$H$5="3.5% Declining",BT61*BT77,BT61/((1+BT$78)^BT$4))</f>
        <v>0</v>
      </c>
      <c r="BU93" s="598">
        <f>IF('Data entry'!$H$5="3.5% Declining",BU61*BU77,BU61/((1+BU$78)^BU$4))</f>
        <v>0</v>
      </c>
      <c r="BV93" s="598">
        <f>IF('Data entry'!$H$5="3.5% Declining",BV61*BV77,BV61/((1+BV$78)^BV$4))</f>
        <v>0</v>
      </c>
      <c r="BW93" s="598">
        <f>IF('Data entry'!$H$5="3.5% Declining",BW61*BW77,BW61/((1+BW$78)^BW$4))</f>
        <v>0</v>
      </c>
      <c r="BX93" s="598">
        <f>IF('Data entry'!$H$5="3.5% Declining",BX61*BX77,BX61/((1+BX$78)^BX$4))</f>
        <v>0</v>
      </c>
      <c r="BY93" s="598">
        <f>IF('Data entry'!$H$5="3.5% Declining",BY61*BY77,BY61/((1+BY$78)^BY$4))</f>
        <v>0</v>
      </c>
      <c r="BZ93" s="598">
        <f>IF('Data entry'!$H$5="3.5% Declining",BZ61*BZ77,BZ61/((1+BZ$78)^BZ$4))</f>
        <v>0</v>
      </c>
      <c r="CA93" s="599">
        <f>IF('Data entry'!$H$5="3.5% Declining",CA61*CA77,CA61/((1+CA$78)^CA$4))</f>
        <v>0</v>
      </c>
      <c r="CB93" s="598">
        <f>IF('Data entry'!$H$5="3.5% Declining",CB61*CB77,CB61/((1+CB$78)^CB$4))</f>
        <v>0</v>
      </c>
      <c r="CC93" s="598">
        <f>IF('Data entry'!$H$5="3.5% Declining",CC61*CC77,CC61/((1+CC$78)^CC$4))</f>
        <v>0</v>
      </c>
      <c r="CD93" s="598">
        <f>IF('Data entry'!$H$5="3.5% Declining",CD61*CD77,CD61/((1+CD$78)^CD$4))</f>
        <v>0</v>
      </c>
      <c r="CE93" s="598">
        <f>IF('Data entry'!$H$5="3.5% Declining",CE61*CE77,CE61/((1+CE$78)^CE$4))</f>
        <v>0</v>
      </c>
      <c r="CF93" s="598">
        <f>IF('Data entry'!$H$5="3.5% Declining",CF61*CF77,CF61/((1+CF$78)^CF$4))</f>
        <v>0</v>
      </c>
      <c r="CG93" s="598">
        <f>IF('Data entry'!$H$5="3.5% Declining",CG61*CG77,CG61/((1+CG$78)^CG$4))</f>
        <v>0</v>
      </c>
      <c r="CH93" s="598">
        <f>IF('Data entry'!$H$5="3.5% Declining",CH61*CH77,CH61/((1+CH$78)^CH$4))</f>
        <v>0</v>
      </c>
      <c r="CI93" s="598">
        <f>IF('Data entry'!$H$5="3.5% Declining",CI61*CI77,CI61/((1+CI$78)^CI$4))</f>
        <v>0</v>
      </c>
      <c r="CJ93" s="598">
        <f>IF('Data entry'!$H$5="3.5% Declining",CJ61*CJ77,CJ61/((1+CJ$78)^CJ$4))</f>
        <v>0</v>
      </c>
      <c r="CK93" s="598">
        <f>IF('Data entry'!$H$5="3.5% Declining",CK61*CK77,CK61/((1+CK$78)^CK$4))</f>
        <v>0</v>
      </c>
      <c r="CL93" s="598">
        <f>IF('Data entry'!$H$5="3.5% Declining",CL61*CL77,CL61/((1+CL$78)^CL$4))</f>
        <v>0</v>
      </c>
      <c r="CM93" s="598">
        <f>IF('Data entry'!$H$5="3.5% Declining",CM61*CM77,CM61/((1+CM$78)^CM$4))</f>
        <v>0</v>
      </c>
      <c r="CN93" s="598">
        <f>IF('Data entry'!$H$5="3.5% Declining",CN61*CN77,CN61/((1+CN$78)^CN$4))</f>
        <v>0</v>
      </c>
      <c r="CO93" s="598">
        <f>IF('Data entry'!$H$5="3.5% Declining",CO61*CO77,CO61/((1+CO$78)^CO$4))</f>
        <v>0</v>
      </c>
      <c r="CP93" s="598">
        <f>IF('Data entry'!$H$5="3.5% Declining",CP61*CP77,CP61/((1+CP$78)^CP$4))</f>
        <v>0</v>
      </c>
      <c r="CQ93" s="598">
        <f>IF('Data entry'!$H$5="3.5% Declining",CQ61*CQ77,CQ61/((1+CQ$78)^CQ$4))</f>
        <v>0</v>
      </c>
      <c r="CR93" s="598">
        <f>IF('Data entry'!$H$5="3.5% Declining",CR61*CR77,CR61/((1+CR$78)^CR$4))</f>
        <v>0</v>
      </c>
      <c r="CS93" s="598">
        <f>IF('Data entry'!$H$5="3.5% Declining",CS61*CS77,CS61/((1+CS$78)^CS$4))</f>
        <v>0</v>
      </c>
      <c r="CT93" s="598">
        <f>IF('Data entry'!$H$5="3.5% Declining",CT61*CT77,CT61/((1+CT$78)^CT$4))</f>
        <v>0</v>
      </c>
      <c r="CU93" s="598">
        <f>IF('Data entry'!$H$5="3.5% Declining",CU61*CU77,CU61/((1+CU$78)^CU$4))</f>
        <v>0</v>
      </c>
      <c r="CV93" s="598">
        <f>IF('Data entry'!$H$5="3.5% Declining",CV61*CV77,CV61/((1+CV$78)^CV$4))</f>
        <v>0</v>
      </c>
      <c r="CW93" s="598">
        <f>IF('Data entry'!$H$5="3.5% Declining",CW61*CW77,CW61/((1+CW$78)^CW$4))</f>
        <v>0</v>
      </c>
      <c r="CX93" s="598">
        <f>IF('Data entry'!$H$5="3.5% Declining",CX61*CX77,CX61/((1+CX$78)^CX$4))</f>
        <v>0</v>
      </c>
      <c r="CY93" s="600">
        <f>IF('Data entry'!$H$5="3.5% Declining",CY61*CY77,CY61/((1+CY$78)^CY$4))</f>
        <v>0</v>
      </c>
    </row>
    <row r="94" spans="1:103" ht="15" customHeight="1" x14ac:dyDescent="0.35">
      <c r="A94" s="601" t="s">
        <v>574</v>
      </c>
      <c r="B94" s="602"/>
      <c r="C94" s="586">
        <f t="shared" si="43"/>
        <v>0</v>
      </c>
      <c r="D94" s="587">
        <f>IF('Data entry'!$H$5="3.5% Declining",D70*D77,D70/((1+D78)^D4))</f>
        <v>0</v>
      </c>
      <c r="E94" s="587">
        <f>IF('Data entry'!$H$5="3.5% Declining",E70*E77,E70/((1+E78)^E4))</f>
        <v>0</v>
      </c>
      <c r="F94" s="587">
        <f>IF('Data entry'!$H$5="3.5% Declining",F70*F77,F70/((1+F78)^F4))</f>
        <v>0</v>
      </c>
      <c r="G94" s="587">
        <f>IF('Data entry'!$H$5="3.5% Declining",G70*G77,G70/((1+G78)^G4))</f>
        <v>0</v>
      </c>
      <c r="H94" s="587">
        <f>IF('Data entry'!$H$5="3.5% Declining",H70*H77,H70/((1+H78)^H4))</f>
        <v>0</v>
      </c>
      <c r="I94" s="587">
        <f>IF('Data entry'!$H$5="3.5% Declining",I70*I77,I70/((1+I78)^I4))</f>
        <v>0</v>
      </c>
      <c r="J94" s="587">
        <f>IF('Data entry'!$H$5="3.5% Declining",J70*J77,J70/((1+J78)^J4))</f>
        <v>0</v>
      </c>
      <c r="K94" s="587">
        <f>IF('Data entry'!$H$5="3.5% Declining",K70*K77,K70/((1+K78)^K4))</f>
        <v>0</v>
      </c>
      <c r="L94" s="587">
        <f>IF('Data entry'!$H$5="3.5% Declining",L70*L77,L70/((1+L78)^L4))</f>
        <v>0</v>
      </c>
      <c r="M94" s="587">
        <f>IF('Data entry'!$H$5="3.5% Declining",M70*M77,M70/((1+M78)^M4))</f>
        <v>0</v>
      </c>
      <c r="N94" s="587">
        <f>IF('Data entry'!$H$5="3.5% Declining",N70*N77,N70/((1+N78)^N4))</f>
        <v>0</v>
      </c>
      <c r="O94" s="587">
        <f>IF('Data entry'!$H$5="3.5% Declining",O70*O77,O70/((1+O78)^O4))</f>
        <v>0</v>
      </c>
      <c r="P94" s="587">
        <f>IF('Data entry'!$H$5="3.5% Declining",P70*P77,P70/((1+P78)^P4))</f>
        <v>0</v>
      </c>
      <c r="Q94" s="587">
        <f>IF('Data entry'!$H$5="3.5% Declining",Q70*Q77,Q70/((1+Q78)^Q4))</f>
        <v>0</v>
      </c>
      <c r="R94" s="587">
        <f>IF('Data entry'!$H$5="3.5% Declining",R70*R77,R70/((1+R78)^R4))</f>
        <v>0</v>
      </c>
      <c r="S94" s="587">
        <f>IF('Data entry'!$H$5="3.5% Declining",S70*S77,S70/((1+S78)^S4))</f>
        <v>0</v>
      </c>
      <c r="T94" s="587">
        <f>IF('Data entry'!$H$5="3.5% Declining",T70*T77,T70/((1+T78)^T4))</f>
        <v>0</v>
      </c>
      <c r="U94" s="587">
        <f>IF('Data entry'!$H$5="3.5% Declining",U70*U77,U70/((1+U78)^U4))</f>
        <v>0</v>
      </c>
      <c r="V94" s="587">
        <f>IF('Data entry'!$H$5="3.5% Declining",V70*V77,V70/((1+V78)^V4))</f>
        <v>0</v>
      </c>
      <c r="W94" s="587">
        <f>IF('Data entry'!$H$5="3.5% Declining",W70*W77,W70/((1+W78)^W4))</f>
        <v>0</v>
      </c>
      <c r="X94" s="587">
        <f>IF('Data entry'!$H$5="3.5% Declining",X70*X77,X70/((1+X78)^X4))</f>
        <v>0</v>
      </c>
      <c r="Y94" s="587">
        <f>IF('Data entry'!$H$5="3.5% Declining",Y70*Y77,Y70/((1+Y78)^Y4))</f>
        <v>0</v>
      </c>
      <c r="Z94" s="587">
        <f>IF('Data entry'!$H$5="3.5% Declining",Z70*Z77,Z70/((1+Z78)^Z4))</f>
        <v>0</v>
      </c>
      <c r="AA94" s="587">
        <f>IF('Data entry'!$H$5="3.5% Declining",AA70*AA77,AA70/((1+AA78)^AA4))</f>
        <v>0</v>
      </c>
      <c r="AB94" s="587">
        <f>IF('Data entry'!$H$5="3.5% Declining",AB70*AB77,AB70/((1+AB78)^AB4))</f>
        <v>0</v>
      </c>
      <c r="AC94" s="587">
        <f>IF('Data entry'!$H$5="3.5% Declining",AC70*AC77,AC70/((1+AC78)^AC4))</f>
        <v>0</v>
      </c>
      <c r="AD94" s="587">
        <f>IF('Data entry'!$H$5="3.5% Declining",AD70*AD77,AD70/((1+AD78)^AD4))</f>
        <v>0</v>
      </c>
      <c r="AE94" s="587">
        <f>IF('Data entry'!$H$5="3.5% Declining",AE70*AE77,AE70/((1+AE78)^AE4))</f>
        <v>0</v>
      </c>
      <c r="AF94" s="587">
        <f>IF('Data entry'!$H$5="3.5% Declining",AF70*AF77,AF70/((1+AF78)^AF4))</f>
        <v>0</v>
      </c>
      <c r="AG94" s="587">
        <f>IF('Data entry'!$H$5="3.5% Declining",AG70*AG77,AG70/((1+AG78)^AG4))</f>
        <v>0</v>
      </c>
      <c r="AH94" s="587">
        <f>IF('Data entry'!$H$5="3.5% Declining",AH70*AH77,AH70/((1+AH78)^AH4))</f>
        <v>0</v>
      </c>
      <c r="AI94" s="587">
        <f>IF('Data entry'!$H$5="3.5% Declining",AI70*AI77,AI70/((1+AI78)^AI4))</f>
        <v>0</v>
      </c>
      <c r="AJ94" s="587">
        <f>IF('Data entry'!$H$5="3.5% Declining",AJ70*AJ77,AJ70/((1+AJ78)^AJ4))</f>
        <v>0</v>
      </c>
      <c r="AK94" s="587">
        <f>IF('Data entry'!$H$5="3.5% Declining",AK70*AK77,AK70/((1+AK78)^AK4))</f>
        <v>0</v>
      </c>
      <c r="AL94" s="587">
        <f>IF('Data entry'!$H$5="3.5% Declining",AL70*AL77,AL70/((1+AL78)^AL4))</f>
        <v>0</v>
      </c>
      <c r="AM94" s="587">
        <f>IF('Data entry'!$H$5="3.5% Declining",AM70*AM77,AM70/((1+AM78)^AM4))</f>
        <v>0</v>
      </c>
      <c r="AN94" s="587">
        <f>IF('Data entry'!$H$5="3.5% Declining",AN70*AN77,AN70/((1+AN78)^AN4))</f>
        <v>0</v>
      </c>
      <c r="AO94" s="588">
        <f>IF('Data entry'!$H$5="3.5% Declining",AO70*AO77,AO70/((1+AO78)^AO4))</f>
        <v>0</v>
      </c>
      <c r="AP94" s="587">
        <f>IF('Data entry'!$H$5="3.5% Declining",AP70*AP77,AP70/((1+AP78)^AP4))</f>
        <v>0</v>
      </c>
      <c r="AQ94" s="587">
        <f>IF('Data entry'!$H$5="3.5% Declining",AQ70*AQ77,AQ70/((1+AQ78)^AQ4))</f>
        <v>0</v>
      </c>
      <c r="AR94" s="587">
        <f>IF('Data entry'!$H$5="3.5% Declining",AR70*AR77,AR70/((1+AR78)^AR4))</f>
        <v>0</v>
      </c>
      <c r="AS94" s="587">
        <f>IF('Data entry'!$H$5="3.5% Declining",AS70*AS77,AS70/((1+AS78)^AS4))</f>
        <v>0</v>
      </c>
      <c r="AT94" s="587">
        <f>IF('Data entry'!$H$5="3.5% Declining",AT70*AT77,AT70/((1+AT78)^AT4))</f>
        <v>0</v>
      </c>
      <c r="AU94" s="587">
        <f>IF('Data entry'!$H$5="3.5% Declining",AU70*AU77,AU70/((1+AU78)^AU4))</f>
        <v>0</v>
      </c>
      <c r="AV94" s="587">
        <f>IF('Data entry'!$H$5="3.5% Declining",AV70*AV77,AV70/((1+AV78)^AV4))</f>
        <v>0</v>
      </c>
      <c r="AW94" s="587">
        <f>IF('Data entry'!$H$5="3.5% Declining",AW70*AW77,AW70/((1+AW78)^AW4))</f>
        <v>0</v>
      </c>
      <c r="AX94" s="587">
        <f>IF('Data entry'!$H$5="3.5% Declining",AX70*AX77,AX70/((1+AX78)^AX4))</f>
        <v>0</v>
      </c>
      <c r="AY94" s="587">
        <f>IF('Data entry'!$H$5="3.5% Declining",AY70*AY77,AY70/((1+AY78)^AY4))</f>
        <v>0</v>
      </c>
      <c r="AZ94" s="587">
        <f>IF('Data entry'!$H$5="3.5% Declining",AZ70*AZ77,AZ70/((1+AZ78)^AZ4))</f>
        <v>0</v>
      </c>
      <c r="BA94" s="587">
        <f>IF('Data entry'!$H$5="3.5% Declining",BA70*BA77,BA70/((1+BA78)^BA4))</f>
        <v>0</v>
      </c>
      <c r="BB94" s="587">
        <f>IF('Data entry'!$H$5="3.5% Declining",BB70*BB77,BB70/((1+BB78)^BB4))</f>
        <v>0</v>
      </c>
      <c r="BC94" s="587">
        <f>IF('Data entry'!$H$5="3.5% Declining",BC70*BC77,BC70/((1+BC78)^BC4))</f>
        <v>0</v>
      </c>
      <c r="BD94" s="587">
        <f>IF('Data entry'!$H$5="3.5% Declining",BD70*BD77,BD70/((1+BD78)^BD4))</f>
        <v>0</v>
      </c>
      <c r="BE94" s="587">
        <f>IF('Data entry'!$H$5="3.5% Declining",BE70*BE77,BE70/((1+BE78)^BE4))</f>
        <v>0</v>
      </c>
      <c r="BF94" s="587">
        <f>IF('Data entry'!$H$5="3.5% Declining",BF70*BF77,BF70/((1+BF78)^BF4))</f>
        <v>0</v>
      </c>
      <c r="BG94" s="587">
        <f>IF('Data entry'!$H$5="3.5% Declining",BG70*BG77,BG70/((1+BG78)^BG4))</f>
        <v>0</v>
      </c>
      <c r="BH94" s="587">
        <f>IF('Data entry'!$H$5="3.5% Declining",BH70*BH77,BH70/((1+BH78)^BH4))</f>
        <v>0</v>
      </c>
      <c r="BI94" s="587">
        <f>IF('Data entry'!$H$5="3.5% Declining",BI70*BI77,BI70/((1+BI78)^BI4))</f>
        <v>0</v>
      </c>
      <c r="BJ94" s="587">
        <f>IF('Data entry'!$H$5="3.5% Declining",BJ70*BJ77,BJ70/((1+BJ78)^BJ4))</f>
        <v>0</v>
      </c>
      <c r="BK94" s="588">
        <f>IF('Data entry'!$H$5="3.5% Declining",BK70*BK77,BK70/((1+BK78)^BK4))</f>
        <v>0</v>
      </c>
      <c r="BL94" s="587">
        <f>IF('Data entry'!$H$5="3.5% Declining",BL70*BL77,BL70/((1+BL78)^BL4))</f>
        <v>0</v>
      </c>
      <c r="BM94" s="587">
        <f>IF('Data entry'!$H$5="3.5% Declining",BM70*BM77,BM70/((1+BM78)^BM4))</f>
        <v>0</v>
      </c>
      <c r="BN94" s="587">
        <f>IF('Data entry'!$H$5="3.5% Declining",BN70*BN77,BN70/((1+BN78)^BN4))</f>
        <v>0</v>
      </c>
      <c r="BO94" s="587">
        <f>IF('Data entry'!$H$5="3.5% Declining",BO70*BO77,BO70/((1+BO78)^BO4))</f>
        <v>0</v>
      </c>
      <c r="BP94" s="587">
        <f>IF('Data entry'!$H$5="3.5% Declining",BP70*BP77,BP70/((1+BP78)^BP4))</f>
        <v>0</v>
      </c>
      <c r="BQ94" s="587">
        <f>IF('Data entry'!$H$5="3.5% Declining",BQ70*BQ77,BQ70/((1+BQ78)^BQ4))</f>
        <v>0</v>
      </c>
      <c r="BR94" s="587">
        <f>IF('Data entry'!$H$5="3.5% Declining",BR70*BR77,BR70/((1+BR78)^BR4))</f>
        <v>0</v>
      </c>
      <c r="BS94" s="587">
        <f>IF('Data entry'!$H$5="3.5% Declining",BS70*BS77,BS70/((1+BS78)^BS4))</f>
        <v>0</v>
      </c>
      <c r="BT94" s="587">
        <f>IF('Data entry'!$H$5="3.5% Declining",BT70*BT77,BT70/((1+BT78)^BT4))</f>
        <v>0</v>
      </c>
      <c r="BU94" s="587">
        <f>IF('Data entry'!$H$5="3.5% Declining",BU70*BU77,BU70/((1+BU78)^BU4))</f>
        <v>0</v>
      </c>
      <c r="BV94" s="587">
        <f>IF('Data entry'!$H$5="3.5% Declining",BV70*BV77,BV70/((1+BV78)^BV4))</f>
        <v>0</v>
      </c>
      <c r="BW94" s="587">
        <f>IF('Data entry'!$H$5="3.5% Declining",BW70*BW77,BW70/((1+BW78)^BW4))</f>
        <v>0</v>
      </c>
      <c r="BX94" s="587">
        <f>IF('Data entry'!$H$5="3.5% Declining",BX70*BX77,BX70/((1+BX78)^BX4))</f>
        <v>0</v>
      </c>
      <c r="BY94" s="587">
        <f>IF('Data entry'!$H$5="3.5% Declining",BY70*BY77,BY70/((1+BY78)^BY4))</f>
        <v>0</v>
      </c>
      <c r="BZ94" s="587">
        <f>IF('Data entry'!$H$5="3.5% Declining",BZ70*BZ77,BZ70/((1+BZ78)^BZ4))</f>
        <v>0</v>
      </c>
      <c r="CA94" s="588">
        <f>IF('Data entry'!$H$5="3.5% Declining",CA70*CA77,CA70/((1+CA78)^CA4))</f>
        <v>0</v>
      </c>
      <c r="CB94" s="587">
        <f>IF('Data entry'!$H$5="3.5% Declining",CB70*CB77,CB70/((1+CB78)^CB4))</f>
        <v>0</v>
      </c>
      <c r="CC94" s="587">
        <f>IF('Data entry'!$H$5="3.5% Declining",CC70*CC77,CC70/((1+CC78)^CC4))</f>
        <v>0</v>
      </c>
      <c r="CD94" s="587">
        <f>IF('Data entry'!$H$5="3.5% Declining",CD70*CD77,CD70/((1+CD78)^CD4))</f>
        <v>0</v>
      </c>
      <c r="CE94" s="587">
        <f>IF('Data entry'!$H$5="3.5% Declining",CE70*CE77,CE70/((1+CE78)^CE4))</f>
        <v>0</v>
      </c>
      <c r="CF94" s="587">
        <f>IF('Data entry'!$H$5="3.5% Declining",CF70*CF77,CF70/((1+CF78)^CF4))</f>
        <v>0</v>
      </c>
      <c r="CG94" s="587">
        <f>IF('Data entry'!$H$5="3.5% Declining",CG70*CG77,CG70/((1+CG78)^CG4))</f>
        <v>0</v>
      </c>
      <c r="CH94" s="587">
        <f>IF('Data entry'!$H$5="3.5% Declining",CH70*CH77,CH70/((1+CH78)^CH4))</f>
        <v>0</v>
      </c>
      <c r="CI94" s="587">
        <f>IF('Data entry'!$H$5="3.5% Declining",CI70*CI77,CI70/((1+CI78)^CI4))</f>
        <v>0</v>
      </c>
      <c r="CJ94" s="587">
        <f>IF('Data entry'!$H$5="3.5% Declining",CJ70*CJ77,CJ70/((1+CJ78)^CJ4))</f>
        <v>0</v>
      </c>
      <c r="CK94" s="587">
        <f>IF('Data entry'!$H$5="3.5% Declining",CK70*CK77,CK70/((1+CK78)^CK4))</f>
        <v>0</v>
      </c>
      <c r="CL94" s="587">
        <f>IF('Data entry'!$H$5="3.5% Declining",CL70*CL77,CL70/((1+CL78)^CL4))</f>
        <v>0</v>
      </c>
      <c r="CM94" s="587">
        <f>IF('Data entry'!$H$5="3.5% Declining",CM70*CM77,CM70/((1+CM78)^CM4))</f>
        <v>0</v>
      </c>
      <c r="CN94" s="587">
        <f>IF('Data entry'!$H$5="3.5% Declining",CN70*CN77,CN70/((1+CN78)^CN4))</f>
        <v>0</v>
      </c>
      <c r="CO94" s="587">
        <f>IF('Data entry'!$H$5="3.5% Declining",CO70*CO77,CO70/((1+CO78)^CO4))</f>
        <v>0</v>
      </c>
      <c r="CP94" s="587">
        <f>IF('Data entry'!$H$5="3.5% Declining",CP70*CP77,CP70/((1+CP78)^CP4))</f>
        <v>0</v>
      </c>
      <c r="CQ94" s="587">
        <f>IF('Data entry'!$H$5="3.5% Declining",CQ70*CQ77,CQ70/((1+CQ78)^CQ4))</f>
        <v>0</v>
      </c>
      <c r="CR94" s="587">
        <f>IF('Data entry'!$H$5="3.5% Declining",CR70*CR77,CR70/((1+CR78)^CR4))</f>
        <v>0</v>
      </c>
      <c r="CS94" s="587">
        <f>IF('Data entry'!$H$5="3.5% Declining",CS70*CS77,CS70/((1+CS78)^CS4))</f>
        <v>0</v>
      </c>
      <c r="CT94" s="587">
        <f>IF('Data entry'!$H$5="3.5% Declining",CT70*CT77,CT70/((1+CT78)^CT4))</f>
        <v>0</v>
      </c>
      <c r="CU94" s="587">
        <f>IF('Data entry'!$H$5="3.5% Declining",CU70*CU77,CU70/((1+CU78)^CU4))</f>
        <v>0</v>
      </c>
      <c r="CV94" s="587">
        <f>IF('Data entry'!$H$5="3.5% Declining",CV70*CV77,CV70/((1+CV78)^CV4))</f>
        <v>0</v>
      </c>
      <c r="CW94" s="587">
        <f>IF('Data entry'!$H$5="3.5% Declining",CW70*CW77,CW70/((1+CW78)^CW4))</f>
        <v>0</v>
      </c>
      <c r="CX94" s="587">
        <f>IF('Data entry'!$H$5="3.5% Declining",CX70*CX77,CX70/((1+CX78)^CX4))</f>
        <v>0</v>
      </c>
      <c r="CY94" s="589">
        <f>IF('Data entry'!$H$5="3.5% Declining",CY70*CY77,CY70/((1+CY78)^CY4))</f>
        <v>0</v>
      </c>
    </row>
    <row r="95" spans="1:103" ht="15" customHeight="1" thickBot="1" x14ac:dyDescent="0.4">
      <c r="A95" s="603" t="s">
        <v>575</v>
      </c>
      <c r="B95" s="604"/>
      <c r="C95" s="597">
        <f t="shared" si="43"/>
        <v>0</v>
      </c>
      <c r="D95" s="598">
        <f>IF('Data entry'!$H$5="3.5% Declining",D71*D77,D71/((1+D78)^D4))</f>
        <v>0</v>
      </c>
      <c r="E95" s="598">
        <f>IF('Data entry'!$H$5="3.5% Declining",E71*E77,E71/((1+E78)^E4))</f>
        <v>0</v>
      </c>
      <c r="F95" s="598">
        <f>IF('Data entry'!$H$5="3.5% Declining",F71*F77,F71/((1+F78)^F4))</f>
        <v>0</v>
      </c>
      <c r="G95" s="598">
        <f>IF('Data entry'!$H$5="3.5% Declining",G71*G77,G71/((1+G78)^G4))</f>
        <v>0</v>
      </c>
      <c r="H95" s="598">
        <f>IF('Data entry'!$H$5="3.5% Declining",H71*H77,H71/((1+H78)^H4))</f>
        <v>0</v>
      </c>
      <c r="I95" s="598">
        <f>IF('Data entry'!$H$5="3.5% Declining",I71*I77,I71/((1+I78)^I4))</f>
        <v>0</v>
      </c>
      <c r="J95" s="598">
        <f>IF('Data entry'!$H$5="3.5% Declining",J71*J77,J71/((1+J78)^J4))</f>
        <v>0</v>
      </c>
      <c r="K95" s="598">
        <f>IF('Data entry'!$H$5="3.5% Declining",K71*K77,K71/((1+K78)^K4))</f>
        <v>0</v>
      </c>
      <c r="L95" s="598">
        <f>IF('Data entry'!$H$5="3.5% Declining",L71*L77,L71/((1+L78)^L4))</f>
        <v>0</v>
      </c>
      <c r="M95" s="598">
        <f>IF('Data entry'!$H$5="3.5% Declining",M71*M77,M71/((1+M78)^M4))</f>
        <v>0</v>
      </c>
      <c r="N95" s="598">
        <f>IF('Data entry'!$H$5="3.5% Declining",N71*N77,N71/((1+N78)^N4))</f>
        <v>0</v>
      </c>
      <c r="O95" s="598">
        <f>IF('Data entry'!$H$5="3.5% Declining",O71*O77,O71/((1+O78)^O4))</f>
        <v>0</v>
      </c>
      <c r="P95" s="598">
        <f>IF('Data entry'!$H$5="3.5% Declining",P71*P77,P71/((1+P78)^P4))</f>
        <v>0</v>
      </c>
      <c r="Q95" s="598">
        <f>IF('Data entry'!$H$5="3.5% Declining",Q71*Q77,Q71/((1+Q78)^Q4))</f>
        <v>0</v>
      </c>
      <c r="R95" s="598">
        <f>IF('Data entry'!$H$5="3.5% Declining",R71*R77,R71/((1+R78)^R4))</f>
        <v>0</v>
      </c>
      <c r="S95" s="598">
        <f>IF('Data entry'!$H$5="3.5% Declining",S71*S77,S71/((1+S78)^S4))</f>
        <v>0</v>
      </c>
      <c r="T95" s="598">
        <f>IF('Data entry'!$H$5="3.5% Declining",T71*T77,T71/((1+T78)^T4))</f>
        <v>0</v>
      </c>
      <c r="U95" s="598">
        <f>IF('Data entry'!$H$5="3.5% Declining",U71*U77,U71/((1+U78)^U4))</f>
        <v>0</v>
      </c>
      <c r="V95" s="598">
        <f>IF('Data entry'!$H$5="3.5% Declining",V71*V77,V71/((1+V78)^V4))</f>
        <v>0</v>
      </c>
      <c r="W95" s="598">
        <f>IF('Data entry'!$H$5="3.5% Declining",W71*W77,W71/((1+W78)^W4))</f>
        <v>0</v>
      </c>
      <c r="X95" s="598">
        <f>IF('Data entry'!$H$5="3.5% Declining",X71*X77,X71/((1+X78)^X4))</f>
        <v>0</v>
      </c>
      <c r="Y95" s="598">
        <f>IF('Data entry'!$H$5="3.5% Declining",Y71*Y77,Y71/((1+Y78)^Y4))</f>
        <v>0</v>
      </c>
      <c r="Z95" s="598">
        <f>IF('Data entry'!$H$5="3.5% Declining",Z71*Z77,Z71/((1+Z78)^Z4))</f>
        <v>0</v>
      </c>
      <c r="AA95" s="598">
        <f>IF('Data entry'!$H$5="3.5% Declining",AA71*AA77,AA71/((1+AA78)^AA4))</f>
        <v>0</v>
      </c>
      <c r="AB95" s="598">
        <f>IF('Data entry'!$H$5="3.5% Declining",AB71*AB77,AB71/((1+AB78)^AB4))</f>
        <v>0</v>
      </c>
      <c r="AC95" s="598">
        <f>IF('Data entry'!$H$5="3.5% Declining",AC71*AC77,AC71/((1+AC78)^AC4))</f>
        <v>0</v>
      </c>
      <c r="AD95" s="598">
        <f>IF('Data entry'!$H$5="3.5% Declining",AD71*AD77,AD71/((1+AD78)^AD4))</f>
        <v>0</v>
      </c>
      <c r="AE95" s="598">
        <f>IF('Data entry'!$H$5="3.5% Declining",AE71*AE77,AE71/((1+AE78)^AE4))</f>
        <v>0</v>
      </c>
      <c r="AF95" s="598">
        <f>IF('Data entry'!$H$5="3.5% Declining",AF71*AF77,AF71/((1+AF78)^AF4))</f>
        <v>0</v>
      </c>
      <c r="AG95" s="598">
        <f>IF('Data entry'!$H$5="3.5% Declining",AG71*AG77,AG71/((1+AG78)^AG4))</f>
        <v>0</v>
      </c>
      <c r="AH95" s="598">
        <f>IF('Data entry'!$H$5="3.5% Declining",AH71*AH77,AH71/((1+AH78)^AH4))</f>
        <v>0</v>
      </c>
      <c r="AI95" s="598">
        <f>IF('Data entry'!$H$5="3.5% Declining",AI71*AI77,AI71/((1+AI78)^AI4))</f>
        <v>0</v>
      </c>
      <c r="AJ95" s="598">
        <f>IF('Data entry'!$H$5="3.5% Declining",AJ71*AJ77,AJ71/((1+AJ78)^AJ4))</f>
        <v>0</v>
      </c>
      <c r="AK95" s="598">
        <f>IF('Data entry'!$H$5="3.5% Declining",AK71*AK77,AK71/((1+AK78)^AK4))</f>
        <v>0</v>
      </c>
      <c r="AL95" s="598">
        <f>IF('Data entry'!$H$5="3.5% Declining",AL71*AL77,AL71/((1+AL78)^AL4))</f>
        <v>0</v>
      </c>
      <c r="AM95" s="598">
        <f>IF('Data entry'!$H$5="3.5% Declining",AM71*AM77,AM71/((1+AM78)^AM4))</f>
        <v>0</v>
      </c>
      <c r="AN95" s="598">
        <f>IF('Data entry'!$H$5="3.5% Declining",AN71*AN77,AN71/((1+AN78)^AN4))</f>
        <v>0</v>
      </c>
      <c r="AO95" s="599">
        <f>IF('Data entry'!$H$5="3.5% Declining",AO71*AO77,AO71/((1+AO78)^AO4))</f>
        <v>0</v>
      </c>
      <c r="AP95" s="598">
        <f>IF('Data entry'!$H$5="3.5% Declining",AP71*AP77,AP71/((1+AP78)^AP4))</f>
        <v>0</v>
      </c>
      <c r="AQ95" s="598">
        <f>IF('Data entry'!$H$5="3.5% Declining",AQ71*AQ77,AQ71/((1+AQ78)^AQ4))</f>
        <v>0</v>
      </c>
      <c r="AR95" s="598">
        <f>IF('Data entry'!$H$5="3.5% Declining",AR71*AR77,AR71/((1+AR78)^AR4))</f>
        <v>0</v>
      </c>
      <c r="AS95" s="598">
        <f>IF('Data entry'!$H$5="3.5% Declining",AS71*AS77,AS71/((1+AS78)^AS4))</f>
        <v>0</v>
      </c>
      <c r="AT95" s="598">
        <f>IF('Data entry'!$H$5="3.5% Declining",AT71*AT77,AT71/((1+AT78)^AT4))</f>
        <v>0</v>
      </c>
      <c r="AU95" s="598">
        <f>IF('Data entry'!$H$5="3.5% Declining",AU71*AU77,AU71/((1+AU78)^AU4))</f>
        <v>0</v>
      </c>
      <c r="AV95" s="598">
        <f>IF('Data entry'!$H$5="3.5% Declining",AV71*AV77,AV71/((1+AV78)^AV4))</f>
        <v>0</v>
      </c>
      <c r="AW95" s="598">
        <f>IF('Data entry'!$H$5="3.5% Declining",AW71*AW77,AW71/((1+AW78)^AW4))</f>
        <v>0</v>
      </c>
      <c r="AX95" s="598">
        <f>IF('Data entry'!$H$5="3.5% Declining",AX71*AX77,AX71/((1+AX78)^AX4))</f>
        <v>0</v>
      </c>
      <c r="AY95" s="598">
        <f>IF('Data entry'!$H$5="3.5% Declining",AY71*AY77,AY71/((1+AY78)^AY4))</f>
        <v>0</v>
      </c>
      <c r="AZ95" s="598">
        <f>IF('Data entry'!$H$5="3.5% Declining",AZ71*AZ77,AZ71/((1+AZ78)^AZ4))</f>
        <v>0</v>
      </c>
      <c r="BA95" s="598">
        <f>IF('Data entry'!$H$5="3.5% Declining",BA71*BA77,BA71/((1+BA78)^BA4))</f>
        <v>0</v>
      </c>
      <c r="BB95" s="598">
        <f>IF('Data entry'!$H$5="3.5% Declining",BB71*BB77,BB71/((1+BB78)^BB4))</f>
        <v>0</v>
      </c>
      <c r="BC95" s="598">
        <f>IF('Data entry'!$H$5="3.5% Declining",BC71*BC77,BC71/((1+BC78)^BC4))</f>
        <v>0</v>
      </c>
      <c r="BD95" s="598">
        <f>IF('Data entry'!$H$5="3.5% Declining",BD71*BD77,BD71/((1+BD78)^BD4))</f>
        <v>0</v>
      </c>
      <c r="BE95" s="598">
        <f>IF('Data entry'!$H$5="3.5% Declining",BE71*BE77,BE71/((1+BE78)^BE4))</f>
        <v>0</v>
      </c>
      <c r="BF95" s="598">
        <f>IF('Data entry'!$H$5="3.5% Declining",BF71*BF77,BF71/((1+BF78)^BF4))</f>
        <v>0</v>
      </c>
      <c r="BG95" s="598">
        <f>IF('Data entry'!$H$5="3.5% Declining",BG71*BG77,BG71/((1+BG78)^BG4))</f>
        <v>0</v>
      </c>
      <c r="BH95" s="598">
        <f>IF('Data entry'!$H$5="3.5% Declining",BH71*BH77,BH71/((1+BH78)^BH4))</f>
        <v>0</v>
      </c>
      <c r="BI95" s="598">
        <f>IF('Data entry'!$H$5="3.5% Declining",BI71*BI77,BI71/((1+BI78)^BI4))</f>
        <v>0</v>
      </c>
      <c r="BJ95" s="598">
        <f>IF('Data entry'!$H$5="3.5% Declining",BJ71*BJ77,BJ71/((1+BJ78)^BJ4))</f>
        <v>0</v>
      </c>
      <c r="BK95" s="599">
        <f>IF('Data entry'!$H$5="3.5% Declining",BK71*BK77,BK71/((1+BK78)^BK4))</f>
        <v>0</v>
      </c>
      <c r="BL95" s="598">
        <f>IF('Data entry'!$H$5="3.5% Declining",BL71*BL77,BL71/((1+BL78)^BL4))</f>
        <v>0</v>
      </c>
      <c r="BM95" s="598">
        <f>IF('Data entry'!$H$5="3.5% Declining",BM71*BM77,BM71/((1+BM78)^BM4))</f>
        <v>0</v>
      </c>
      <c r="BN95" s="598">
        <f>IF('Data entry'!$H$5="3.5% Declining",BN71*BN77,BN71/((1+BN78)^BN4))</f>
        <v>0</v>
      </c>
      <c r="BO95" s="598">
        <f>IF('Data entry'!$H$5="3.5% Declining",BO71*BO77,BO71/((1+BO78)^BO4))</f>
        <v>0</v>
      </c>
      <c r="BP95" s="598">
        <f>IF('Data entry'!$H$5="3.5% Declining",BP71*BP77,BP71/((1+BP78)^BP4))</f>
        <v>0</v>
      </c>
      <c r="BQ95" s="598">
        <f>IF('Data entry'!$H$5="3.5% Declining",BQ71*BQ77,BQ71/((1+BQ78)^BQ4))</f>
        <v>0</v>
      </c>
      <c r="BR95" s="598">
        <f>IF('Data entry'!$H$5="3.5% Declining",BR71*BR77,BR71/((1+BR78)^BR4))</f>
        <v>0</v>
      </c>
      <c r="BS95" s="598">
        <f>IF('Data entry'!$H$5="3.5% Declining",BS71*BS77,BS71/((1+BS78)^BS4))</f>
        <v>0</v>
      </c>
      <c r="BT95" s="598">
        <f>IF('Data entry'!$H$5="3.5% Declining",BT71*BT77,BT71/((1+BT78)^BT4))</f>
        <v>0</v>
      </c>
      <c r="BU95" s="598">
        <f>IF('Data entry'!$H$5="3.5% Declining",BU71*BU77,BU71/((1+BU78)^BU4))</f>
        <v>0</v>
      </c>
      <c r="BV95" s="598">
        <f>IF('Data entry'!$H$5="3.5% Declining",BV71*BV77,BV71/((1+BV78)^BV4))</f>
        <v>0</v>
      </c>
      <c r="BW95" s="598">
        <f>IF('Data entry'!$H$5="3.5% Declining",BW71*BW77,BW71/((1+BW78)^BW4))</f>
        <v>0</v>
      </c>
      <c r="BX95" s="598">
        <f>IF('Data entry'!$H$5="3.5% Declining",BX71*BX77,BX71/((1+BX78)^BX4))</f>
        <v>0</v>
      </c>
      <c r="BY95" s="598">
        <f>IF('Data entry'!$H$5="3.5% Declining",BY71*BY77,BY71/((1+BY78)^BY4))</f>
        <v>0</v>
      </c>
      <c r="BZ95" s="598">
        <f>IF('Data entry'!$H$5="3.5% Declining",BZ71*BZ77,BZ71/((1+BZ78)^BZ4))</f>
        <v>0</v>
      </c>
      <c r="CA95" s="599">
        <f>IF('Data entry'!$H$5="3.5% Declining",CA71*CA77,CA71/((1+CA78)^CA4))</f>
        <v>0</v>
      </c>
      <c r="CB95" s="598">
        <f>IF('Data entry'!$H$5="3.5% Declining",CB71*CB77,CB71/((1+CB78)^CB4))</f>
        <v>0</v>
      </c>
      <c r="CC95" s="598">
        <f>IF('Data entry'!$H$5="3.5% Declining",CC71*CC77,CC71/((1+CC78)^CC4))</f>
        <v>0</v>
      </c>
      <c r="CD95" s="598">
        <f>IF('Data entry'!$H$5="3.5% Declining",CD71*CD77,CD71/((1+CD78)^CD4))</f>
        <v>0</v>
      </c>
      <c r="CE95" s="598">
        <f>IF('Data entry'!$H$5="3.5% Declining",CE71*CE77,CE71/((1+CE78)^CE4))</f>
        <v>0</v>
      </c>
      <c r="CF95" s="598">
        <f>IF('Data entry'!$H$5="3.5% Declining",CF71*CF77,CF71/((1+CF78)^CF4))</f>
        <v>0</v>
      </c>
      <c r="CG95" s="598">
        <f>IF('Data entry'!$H$5="3.5% Declining",CG71*CG77,CG71/((1+CG78)^CG4))</f>
        <v>0</v>
      </c>
      <c r="CH95" s="598">
        <f>IF('Data entry'!$H$5="3.5% Declining",CH71*CH77,CH71/((1+CH78)^CH4))</f>
        <v>0</v>
      </c>
      <c r="CI95" s="598">
        <f>IF('Data entry'!$H$5="3.5% Declining",CI71*CI77,CI71/((1+CI78)^CI4))</f>
        <v>0</v>
      </c>
      <c r="CJ95" s="598">
        <f>IF('Data entry'!$H$5="3.5% Declining",CJ71*CJ77,CJ71/((1+CJ78)^CJ4))</f>
        <v>0</v>
      </c>
      <c r="CK95" s="598">
        <f>IF('Data entry'!$H$5="3.5% Declining",CK71*CK77,CK71/((1+CK78)^CK4))</f>
        <v>0</v>
      </c>
      <c r="CL95" s="598">
        <f>IF('Data entry'!$H$5="3.5% Declining",CL71*CL77,CL71/((1+CL78)^CL4))</f>
        <v>0</v>
      </c>
      <c r="CM95" s="598">
        <f>IF('Data entry'!$H$5="3.5% Declining",CM71*CM77,CM71/((1+CM78)^CM4))</f>
        <v>0</v>
      </c>
      <c r="CN95" s="598">
        <f>IF('Data entry'!$H$5="3.5% Declining",CN71*CN77,CN71/((1+CN78)^CN4))</f>
        <v>0</v>
      </c>
      <c r="CO95" s="598">
        <f>IF('Data entry'!$H$5="3.5% Declining",CO71*CO77,CO71/((1+CO78)^CO4))</f>
        <v>0</v>
      </c>
      <c r="CP95" s="598">
        <f>IF('Data entry'!$H$5="3.5% Declining",CP71*CP77,CP71/((1+CP78)^CP4))</f>
        <v>0</v>
      </c>
      <c r="CQ95" s="598">
        <f>IF('Data entry'!$H$5="3.5% Declining",CQ71*CQ77,CQ71/((1+CQ78)^CQ4))</f>
        <v>0</v>
      </c>
      <c r="CR95" s="598">
        <f>IF('Data entry'!$H$5="3.5% Declining",CR71*CR77,CR71/((1+CR78)^CR4))</f>
        <v>0</v>
      </c>
      <c r="CS95" s="598">
        <f>IF('Data entry'!$H$5="3.5% Declining",CS71*CS77,CS71/((1+CS78)^CS4))</f>
        <v>0</v>
      </c>
      <c r="CT95" s="598">
        <f>IF('Data entry'!$H$5="3.5% Declining",CT71*CT77,CT71/((1+CT78)^CT4))</f>
        <v>0</v>
      </c>
      <c r="CU95" s="598">
        <f>IF('Data entry'!$H$5="3.5% Declining",CU71*CU77,CU71/((1+CU78)^CU4))</f>
        <v>0</v>
      </c>
      <c r="CV95" s="598">
        <f>IF('Data entry'!$H$5="3.5% Declining",CV71*CV77,CV71/((1+CV78)^CV4))</f>
        <v>0</v>
      </c>
      <c r="CW95" s="598">
        <f>IF('Data entry'!$H$5="3.5% Declining",CW71*CW77,CW71/((1+CW78)^CW4))</f>
        <v>0</v>
      </c>
      <c r="CX95" s="598">
        <f>IF('Data entry'!$H$5="3.5% Declining",CX71*CX77,CX71/((1+CX78)^CX4))</f>
        <v>0</v>
      </c>
      <c r="CY95" s="600">
        <f>IF('Data entry'!$H$5="3.5% Declining",CY71*CY77,CY71/((1+CY78)^CY4))</f>
        <v>0</v>
      </c>
    </row>
    <row r="96" spans="1:103" ht="15" customHeight="1" thickBot="1" x14ac:dyDescent="0.4">
      <c r="A96" s="288"/>
      <c r="B96" s="288"/>
      <c r="C96" s="459"/>
      <c r="D96" s="605"/>
      <c r="E96" s="605"/>
      <c r="F96" s="605"/>
      <c r="G96" s="605"/>
      <c r="H96" s="605"/>
      <c r="I96" s="605"/>
      <c r="J96" s="605"/>
      <c r="K96" s="605"/>
      <c r="L96" s="605"/>
      <c r="M96" s="605"/>
      <c r="N96" s="605"/>
      <c r="O96" s="605"/>
      <c r="P96" s="605"/>
      <c r="Q96" s="605"/>
      <c r="R96" s="605"/>
      <c r="S96" s="605"/>
      <c r="T96" s="605"/>
      <c r="U96" s="605"/>
      <c r="V96" s="605"/>
      <c r="W96" s="605"/>
      <c r="X96" s="605"/>
      <c r="Y96" s="605"/>
      <c r="Z96" s="605"/>
      <c r="AA96" s="605"/>
      <c r="AB96" s="605"/>
      <c r="AC96" s="605"/>
      <c r="AD96" s="605"/>
      <c r="AE96" s="605"/>
      <c r="AF96" s="605"/>
      <c r="AG96" s="605"/>
      <c r="AH96" s="605"/>
      <c r="AI96" s="605"/>
      <c r="AJ96" s="605"/>
      <c r="AK96" s="605"/>
      <c r="AL96" s="605"/>
      <c r="AM96" s="605"/>
      <c r="AN96" s="605"/>
      <c r="AO96" s="520"/>
      <c r="AP96" s="519"/>
      <c r="AQ96" s="605"/>
      <c r="AR96" s="605"/>
      <c r="AS96" s="605"/>
      <c r="AT96" s="605"/>
      <c r="AU96" s="605"/>
      <c r="AV96" s="605"/>
      <c r="AW96" s="605"/>
      <c r="AX96" s="605"/>
      <c r="AY96" s="605"/>
      <c r="AZ96" s="605"/>
      <c r="BA96" s="605"/>
      <c r="BB96" s="605"/>
      <c r="BC96" s="605"/>
      <c r="BD96" s="605"/>
      <c r="BE96" s="605"/>
      <c r="BF96" s="605"/>
      <c r="BG96" s="605"/>
      <c r="BH96" s="605"/>
      <c r="BI96" s="605"/>
      <c r="BJ96" s="605"/>
      <c r="BK96" s="520"/>
      <c r="BL96" s="519"/>
      <c r="BM96" s="605"/>
      <c r="BN96" s="605"/>
      <c r="BO96" s="605"/>
      <c r="BP96" s="605"/>
      <c r="BQ96" s="605"/>
      <c r="BR96" s="605"/>
      <c r="BS96" s="605"/>
      <c r="BT96" s="605"/>
      <c r="BU96" s="605"/>
      <c r="BV96" s="605"/>
      <c r="BW96" s="605"/>
      <c r="BX96" s="605"/>
      <c r="BY96" s="605"/>
      <c r="BZ96" s="605"/>
      <c r="CA96" s="520"/>
      <c r="CB96" s="519"/>
      <c r="CC96" s="605"/>
      <c r="CD96" s="605"/>
      <c r="CE96" s="605"/>
      <c r="CF96" s="605"/>
      <c r="CG96" s="605"/>
      <c r="CH96" s="605"/>
      <c r="CI96" s="605"/>
      <c r="CJ96" s="605"/>
      <c r="CK96" s="605"/>
      <c r="CL96" s="605"/>
      <c r="CM96" s="605"/>
      <c r="CN96" s="605"/>
      <c r="CO96" s="605"/>
      <c r="CP96" s="605"/>
      <c r="CQ96" s="605"/>
      <c r="CR96" s="605"/>
      <c r="CS96" s="605"/>
      <c r="CT96" s="605"/>
      <c r="CU96" s="605"/>
      <c r="CV96" s="605"/>
      <c r="CW96" s="605"/>
      <c r="CX96" s="605"/>
      <c r="CY96" s="521"/>
    </row>
    <row r="97" spans="1:103" s="202" customFormat="1" ht="15" customHeight="1" x14ac:dyDescent="0.35">
      <c r="A97" s="853" t="s">
        <v>576</v>
      </c>
      <c r="B97" s="854"/>
      <c r="C97" s="855" t="e">
        <f ca="1">SUM(D97:CY97)</f>
        <v>#REF!</v>
      </c>
      <c r="D97" s="856" t="e">
        <f ca="1">D94-D80</f>
        <v>#REF!</v>
      </c>
      <c r="E97" s="856">
        <f t="shared" ref="E97:AI97" ca="1" si="47">E94-E80</f>
        <v>0</v>
      </c>
      <c r="F97" s="856">
        <f t="shared" ca="1" si="47"/>
        <v>0</v>
      </c>
      <c r="G97" s="856">
        <f t="shared" ca="1" si="47"/>
        <v>0</v>
      </c>
      <c r="H97" s="856">
        <f t="shared" ca="1" si="47"/>
        <v>0</v>
      </c>
      <c r="I97" s="856">
        <f t="shared" ca="1" si="47"/>
        <v>0</v>
      </c>
      <c r="J97" s="856">
        <f t="shared" ca="1" si="47"/>
        <v>0</v>
      </c>
      <c r="K97" s="856">
        <f t="shared" ca="1" si="47"/>
        <v>0</v>
      </c>
      <c r="L97" s="856">
        <f t="shared" ca="1" si="47"/>
        <v>0</v>
      </c>
      <c r="M97" s="856">
        <f t="shared" ca="1" si="47"/>
        <v>0</v>
      </c>
      <c r="N97" s="856">
        <f t="shared" ca="1" si="47"/>
        <v>0</v>
      </c>
      <c r="O97" s="856">
        <f t="shared" ca="1" si="47"/>
        <v>0</v>
      </c>
      <c r="P97" s="856">
        <f t="shared" ca="1" si="47"/>
        <v>0</v>
      </c>
      <c r="Q97" s="856">
        <f t="shared" ca="1" si="47"/>
        <v>0</v>
      </c>
      <c r="R97" s="856">
        <f t="shared" ca="1" si="47"/>
        <v>0</v>
      </c>
      <c r="S97" s="856">
        <f t="shared" ca="1" si="47"/>
        <v>0</v>
      </c>
      <c r="T97" s="856">
        <f t="shared" ca="1" si="47"/>
        <v>0</v>
      </c>
      <c r="U97" s="856">
        <f t="shared" ca="1" si="47"/>
        <v>0</v>
      </c>
      <c r="V97" s="856">
        <f t="shared" ca="1" si="47"/>
        <v>0</v>
      </c>
      <c r="W97" s="856">
        <f t="shared" ca="1" si="47"/>
        <v>0</v>
      </c>
      <c r="X97" s="856">
        <f t="shared" ca="1" si="47"/>
        <v>0</v>
      </c>
      <c r="Y97" s="856">
        <f t="shared" ca="1" si="47"/>
        <v>0</v>
      </c>
      <c r="Z97" s="856">
        <f t="shared" ca="1" si="47"/>
        <v>0</v>
      </c>
      <c r="AA97" s="856">
        <f t="shared" ca="1" si="47"/>
        <v>0</v>
      </c>
      <c r="AB97" s="856">
        <f t="shared" ca="1" si="47"/>
        <v>0</v>
      </c>
      <c r="AC97" s="856">
        <f t="shared" ca="1" si="47"/>
        <v>0</v>
      </c>
      <c r="AD97" s="856">
        <f t="shared" ca="1" si="47"/>
        <v>0</v>
      </c>
      <c r="AE97" s="856">
        <f t="shared" ca="1" si="47"/>
        <v>0</v>
      </c>
      <c r="AF97" s="856">
        <f t="shared" ca="1" si="47"/>
        <v>0</v>
      </c>
      <c r="AG97" s="856">
        <f t="shared" ca="1" si="47"/>
        <v>0</v>
      </c>
      <c r="AH97" s="856">
        <f t="shared" ca="1" si="47"/>
        <v>0</v>
      </c>
      <c r="AI97" s="856">
        <f t="shared" ca="1" si="47"/>
        <v>0</v>
      </c>
      <c r="AJ97" s="856">
        <f t="shared" ref="AJ97:BO97" ca="1" si="48">AJ94-AJ80</f>
        <v>0</v>
      </c>
      <c r="AK97" s="856">
        <f t="shared" ca="1" si="48"/>
        <v>0</v>
      </c>
      <c r="AL97" s="856">
        <f t="shared" ca="1" si="48"/>
        <v>0</v>
      </c>
      <c r="AM97" s="856">
        <f t="shared" ca="1" si="48"/>
        <v>0</v>
      </c>
      <c r="AN97" s="856">
        <f t="shared" ca="1" si="48"/>
        <v>0</v>
      </c>
      <c r="AO97" s="857">
        <f t="shared" ca="1" si="48"/>
        <v>0</v>
      </c>
      <c r="AP97" s="856">
        <f t="shared" ca="1" si="48"/>
        <v>0</v>
      </c>
      <c r="AQ97" s="856">
        <f t="shared" ca="1" si="48"/>
        <v>0</v>
      </c>
      <c r="AR97" s="856">
        <f t="shared" ca="1" si="48"/>
        <v>0</v>
      </c>
      <c r="AS97" s="856">
        <f t="shared" ca="1" si="48"/>
        <v>0</v>
      </c>
      <c r="AT97" s="856">
        <f t="shared" ca="1" si="48"/>
        <v>0</v>
      </c>
      <c r="AU97" s="856">
        <f t="shared" ca="1" si="48"/>
        <v>0</v>
      </c>
      <c r="AV97" s="856">
        <f t="shared" ca="1" si="48"/>
        <v>0</v>
      </c>
      <c r="AW97" s="856">
        <f t="shared" ca="1" si="48"/>
        <v>0</v>
      </c>
      <c r="AX97" s="856">
        <f t="shared" ca="1" si="48"/>
        <v>0</v>
      </c>
      <c r="AY97" s="856">
        <f t="shared" ca="1" si="48"/>
        <v>0</v>
      </c>
      <c r="AZ97" s="856">
        <f t="shared" ca="1" si="48"/>
        <v>0</v>
      </c>
      <c r="BA97" s="856">
        <f t="shared" ca="1" si="48"/>
        <v>0</v>
      </c>
      <c r="BB97" s="856">
        <f t="shared" ca="1" si="48"/>
        <v>0</v>
      </c>
      <c r="BC97" s="856">
        <f t="shared" ca="1" si="48"/>
        <v>0</v>
      </c>
      <c r="BD97" s="856">
        <f t="shared" ca="1" si="48"/>
        <v>0</v>
      </c>
      <c r="BE97" s="856">
        <f t="shared" ca="1" si="48"/>
        <v>0</v>
      </c>
      <c r="BF97" s="856">
        <f t="shared" ca="1" si="48"/>
        <v>0</v>
      </c>
      <c r="BG97" s="856">
        <f t="shared" ca="1" si="48"/>
        <v>0</v>
      </c>
      <c r="BH97" s="856">
        <f t="shared" ca="1" si="48"/>
        <v>0</v>
      </c>
      <c r="BI97" s="856">
        <f t="shared" ca="1" si="48"/>
        <v>0</v>
      </c>
      <c r="BJ97" s="856">
        <f t="shared" ca="1" si="48"/>
        <v>0</v>
      </c>
      <c r="BK97" s="857">
        <f t="shared" ca="1" si="48"/>
        <v>0</v>
      </c>
      <c r="BL97" s="856">
        <f t="shared" ca="1" si="48"/>
        <v>0</v>
      </c>
      <c r="BM97" s="856">
        <f t="shared" ca="1" si="48"/>
        <v>0</v>
      </c>
      <c r="BN97" s="856">
        <f t="shared" ca="1" si="48"/>
        <v>0</v>
      </c>
      <c r="BO97" s="856">
        <f t="shared" ca="1" si="48"/>
        <v>0</v>
      </c>
      <c r="BP97" s="856">
        <f t="shared" ref="BP97:CY97" ca="1" si="49">BP94-BP80</f>
        <v>0</v>
      </c>
      <c r="BQ97" s="856">
        <f t="shared" ca="1" si="49"/>
        <v>0</v>
      </c>
      <c r="BR97" s="856">
        <f t="shared" ca="1" si="49"/>
        <v>0</v>
      </c>
      <c r="BS97" s="856">
        <f t="shared" ca="1" si="49"/>
        <v>0</v>
      </c>
      <c r="BT97" s="856">
        <f t="shared" ca="1" si="49"/>
        <v>0</v>
      </c>
      <c r="BU97" s="856">
        <f t="shared" ca="1" si="49"/>
        <v>0</v>
      </c>
      <c r="BV97" s="856">
        <f t="shared" ca="1" si="49"/>
        <v>0</v>
      </c>
      <c r="BW97" s="856">
        <f t="shared" ca="1" si="49"/>
        <v>0</v>
      </c>
      <c r="BX97" s="856">
        <f t="shared" ca="1" si="49"/>
        <v>0</v>
      </c>
      <c r="BY97" s="856">
        <f t="shared" ca="1" si="49"/>
        <v>0</v>
      </c>
      <c r="BZ97" s="856">
        <f t="shared" ca="1" si="49"/>
        <v>0</v>
      </c>
      <c r="CA97" s="857">
        <f t="shared" ca="1" si="49"/>
        <v>0</v>
      </c>
      <c r="CB97" s="856">
        <f t="shared" ca="1" si="49"/>
        <v>0</v>
      </c>
      <c r="CC97" s="856">
        <f t="shared" ca="1" si="49"/>
        <v>0</v>
      </c>
      <c r="CD97" s="856">
        <f t="shared" ca="1" si="49"/>
        <v>0</v>
      </c>
      <c r="CE97" s="856">
        <f t="shared" ca="1" si="49"/>
        <v>0</v>
      </c>
      <c r="CF97" s="856">
        <f t="shared" ca="1" si="49"/>
        <v>0</v>
      </c>
      <c r="CG97" s="856">
        <f t="shared" ca="1" si="49"/>
        <v>0</v>
      </c>
      <c r="CH97" s="856">
        <f t="shared" ca="1" si="49"/>
        <v>0</v>
      </c>
      <c r="CI97" s="856">
        <f t="shared" ca="1" si="49"/>
        <v>0</v>
      </c>
      <c r="CJ97" s="856">
        <f t="shared" ca="1" si="49"/>
        <v>0</v>
      </c>
      <c r="CK97" s="856">
        <f t="shared" ca="1" si="49"/>
        <v>0</v>
      </c>
      <c r="CL97" s="856">
        <f t="shared" ca="1" si="49"/>
        <v>0</v>
      </c>
      <c r="CM97" s="856">
        <f t="shared" ca="1" si="49"/>
        <v>0</v>
      </c>
      <c r="CN97" s="856">
        <f t="shared" ca="1" si="49"/>
        <v>0</v>
      </c>
      <c r="CO97" s="856">
        <f t="shared" ca="1" si="49"/>
        <v>0</v>
      </c>
      <c r="CP97" s="856">
        <f t="shared" ca="1" si="49"/>
        <v>0</v>
      </c>
      <c r="CQ97" s="856">
        <f t="shared" ca="1" si="49"/>
        <v>0</v>
      </c>
      <c r="CR97" s="856">
        <f t="shared" ca="1" si="49"/>
        <v>0</v>
      </c>
      <c r="CS97" s="856">
        <f t="shared" ca="1" si="49"/>
        <v>0</v>
      </c>
      <c r="CT97" s="856">
        <f t="shared" ca="1" si="49"/>
        <v>0</v>
      </c>
      <c r="CU97" s="856">
        <f t="shared" ca="1" si="49"/>
        <v>0</v>
      </c>
      <c r="CV97" s="856">
        <f t="shared" ca="1" si="49"/>
        <v>0</v>
      </c>
      <c r="CW97" s="856">
        <f t="shared" ca="1" si="49"/>
        <v>0</v>
      </c>
      <c r="CX97" s="856">
        <f t="shared" ca="1" si="49"/>
        <v>0</v>
      </c>
      <c r="CY97" s="858">
        <f t="shared" ca="1" si="49"/>
        <v>0</v>
      </c>
    </row>
    <row r="98" spans="1:103" s="202" customFormat="1" ht="15" customHeight="1" thickBot="1" x14ac:dyDescent="0.4">
      <c r="A98" s="859" t="s">
        <v>577</v>
      </c>
      <c r="B98" s="860"/>
      <c r="C98" s="861" t="e">
        <f ca="1">SUM(D98:CY98)</f>
        <v>#REF!</v>
      </c>
      <c r="D98" s="862" t="e">
        <f ca="1">D95-D81</f>
        <v>#REF!</v>
      </c>
      <c r="E98" s="862">
        <f t="shared" ref="E98:AI98" ca="1" si="50">E95-E81</f>
        <v>0</v>
      </c>
      <c r="F98" s="862">
        <f t="shared" ca="1" si="50"/>
        <v>0</v>
      </c>
      <c r="G98" s="862">
        <f t="shared" ca="1" si="50"/>
        <v>0</v>
      </c>
      <c r="H98" s="862">
        <f t="shared" ca="1" si="50"/>
        <v>0</v>
      </c>
      <c r="I98" s="862">
        <f t="shared" ca="1" si="50"/>
        <v>0</v>
      </c>
      <c r="J98" s="862">
        <f t="shared" ca="1" si="50"/>
        <v>0</v>
      </c>
      <c r="K98" s="862">
        <f t="shared" ca="1" si="50"/>
        <v>0</v>
      </c>
      <c r="L98" s="862">
        <f t="shared" ca="1" si="50"/>
        <v>0</v>
      </c>
      <c r="M98" s="862">
        <f t="shared" ca="1" si="50"/>
        <v>0</v>
      </c>
      <c r="N98" s="862">
        <f t="shared" ca="1" si="50"/>
        <v>0</v>
      </c>
      <c r="O98" s="862">
        <f t="shared" ca="1" si="50"/>
        <v>0</v>
      </c>
      <c r="P98" s="862">
        <f t="shared" ca="1" si="50"/>
        <v>0</v>
      </c>
      <c r="Q98" s="862">
        <f t="shared" ca="1" si="50"/>
        <v>0</v>
      </c>
      <c r="R98" s="862">
        <f t="shared" ca="1" si="50"/>
        <v>0</v>
      </c>
      <c r="S98" s="862">
        <f t="shared" ca="1" si="50"/>
        <v>0</v>
      </c>
      <c r="T98" s="862">
        <f t="shared" ca="1" si="50"/>
        <v>0</v>
      </c>
      <c r="U98" s="862">
        <f t="shared" ca="1" si="50"/>
        <v>0</v>
      </c>
      <c r="V98" s="862">
        <f t="shared" ca="1" si="50"/>
        <v>0</v>
      </c>
      <c r="W98" s="862">
        <f t="shared" ca="1" si="50"/>
        <v>0</v>
      </c>
      <c r="X98" s="862">
        <f t="shared" ca="1" si="50"/>
        <v>0</v>
      </c>
      <c r="Y98" s="862">
        <f t="shared" ca="1" si="50"/>
        <v>0</v>
      </c>
      <c r="Z98" s="862">
        <f t="shared" ca="1" si="50"/>
        <v>0</v>
      </c>
      <c r="AA98" s="862">
        <f t="shared" ca="1" si="50"/>
        <v>0</v>
      </c>
      <c r="AB98" s="862">
        <f t="shared" ca="1" si="50"/>
        <v>0</v>
      </c>
      <c r="AC98" s="862">
        <f t="shared" ca="1" si="50"/>
        <v>0</v>
      </c>
      <c r="AD98" s="862">
        <f t="shared" ca="1" si="50"/>
        <v>0</v>
      </c>
      <c r="AE98" s="862">
        <f t="shared" ca="1" si="50"/>
        <v>0</v>
      </c>
      <c r="AF98" s="862">
        <f t="shared" ca="1" si="50"/>
        <v>0</v>
      </c>
      <c r="AG98" s="862">
        <f t="shared" ca="1" si="50"/>
        <v>0</v>
      </c>
      <c r="AH98" s="862">
        <f t="shared" ca="1" si="50"/>
        <v>0</v>
      </c>
      <c r="AI98" s="862">
        <f t="shared" ca="1" si="50"/>
        <v>0</v>
      </c>
      <c r="AJ98" s="862">
        <f t="shared" ref="AJ98:BO98" ca="1" si="51">AJ95-AJ81</f>
        <v>0</v>
      </c>
      <c r="AK98" s="862">
        <f t="shared" ca="1" si="51"/>
        <v>0</v>
      </c>
      <c r="AL98" s="862">
        <f t="shared" ca="1" si="51"/>
        <v>0</v>
      </c>
      <c r="AM98" s="862">
        <f t="shared" ca="1" si="51"/>
        <v>0</v>
      </c>
      <c r="AN98" s="862">
        <f t="shared" ca="1" si="51"/>
        <v>0</v>
      </c>
      <c r="AO98" s="863">
        <f t="shared" ca="1" si="51"/>
        <v>0</v>
      </c>
      <c r="AP98" s="862">
        <f t="shared" ca="1" si="51"/>
        <v>0</v>
      </c>
      <c r="AQ98" s="862">
        <f t="shared" ca="1" si="51"/>
        <v>0</v>
      </c>
      <c r="AR98" s="862">
        <f t="shared" ca="1" si="51"/>
        <v>0</v>
      </c>
      <c r="AS98" s="862">
        <f t="shared" ca="1" si="51"/>
        <v>0</v>
      </c>
      <c r="AT98" s="862">
        <f t="shared" ca="1" si="51"/>
        <v>0</v>
      </c>
      <c r="AU98" s="862">
        <f t="shared" ca="1" si="51"/>
        <v>0</v>
      </c>
      <c r="AV98" s="862">
        <f t="shared" ca="1" si="51"/>
        <v>0</v>
      </c>
      <c r="AW98" s="862">
        <f t="shared" ca="1" si="51"/>
        <v>0</v>
      </c>
      <c r="AX98" s="862">
        <f t="shared" ca="1" si="51"/>
        <v>0</v>
      </c>
      <c r="AY98" s="862">
        <f t="shared" ca="1" si="51"/>
        <v>0</v>
      </c>
      <c r="AZ98" s="862">
        <f t="shared" ca="1" si="51"/>
        <v>0</v>
      </c>
      <c r="BA98" s="862">
        <f t="shared" ca="1" si="51"/>
        <v>0</v>
      </c>
      <c r="BB98" s="862">
        <f t="shared" ca="1" si="51"/>
        <v>0</v>
      </c>
      <c r="BC98" s="862">
        <f t="shared" ca="1" si="51"/>
        <v>0</v>
      </c>
      <c r="BD98" s="862">
        <f t="shared" ca="1" si="51"/>
        <v>0</v>
      </c>
      <c r="BE98" s="862">
        <f t="shared" ca="1" si="51"/>
        <v>0</v>
      </c>
      <c r="BF98" s="862">
        <f t="shared" ca="1" si="51"/>
        <v>0</v>
      </c>
      <c r="BG98" s="862">
        <f t="shared" ca="1" si="51"/>
        <v>0</v>
      </c>
      <c r="BH98" s="862">
        <f t="shared" ca="1" si="51"/>
        <v>0</v>
      </c>
      <c r="BI98" s="862">
        <f t="shared" ca="1" si="51"/>
        <v>0</v>
      </c>
      <c r="BJ98" s="862">
        <f t="shared" ca="1" si="51"/>
        <v>0</v>
      </c>
      <c r="BK98" s="863">
        <f t="shared" ca="1" si="51"/>
        <v>0</v>
      </c>
      <c r="BL98" s="862">
        <f t="shared" ca="1" si="51"/>
        <v>0</v>
      </c>
      <c r="BM98" s="862">
        <f t="shared" ca="1" si="51"/>
        <v>0</v>
      </c>
      <c r="BN98" s="862">
        <f t="shared" ca="1" si="51"/>
        <v>0</v>
      </c>
      <c r="BO98" s="862">
        <f t="shared" ca="1" si="51"/>
        <v>0</v>
      </c>
      <c r="BP98" s="862">
        <f t="shared" ref="BP98:CY98" ca="1" si="52">BP95-BP81</f>
        <v>0</v>
      </c>
      <c r="BQ98" s="862">
        <f t="shared" ca="1" si="52"/>
        <v>0</v>
      </c>
      <c r="BR98" s="862">
        <f t="shared" ca="1" si="52"/>
        <v>0</v>
      </c>
      <c r="BS98" s="862">
        <f t="shared" ca="1" si="52"/>
        <v>0</v>
      </c>
      <c r="BT98" s="862">
        <f t="shared" ca="1" si="52"/>
        <v>0</v>
      </c>
      <c r="BU98" s="862">
        <f t="shared" ca="1" si="52"/>
        <v>0</v>
      </c>
      <c r="BV98" s="862">
        <f t="shared" ca="1" si="52"/>
        <v>0</v>
      </c>
      <c r="BW98" s="862">
        <f t="shared" ca="1" si="52"/>
        <v>0</v>
      </c>
      <c r="BX98" s="862">
        <f t="shared" ca="1" si="52"/>
        <v>0</v>
      </c>
      <c r="BY98" s="862">
        <f t="shared" ca="1" si="52"/>
        <v>0</v>
      </c>
      <c r="BZ98" s="862">
        <f t="shared" ca="1" si="52"/>
        <v>0</v>
      </c>
      <c r="CA98" s="863">
        <f t="shared" ca="1" si="52"/>
        <v>0</v>
      </c>
      <c r="CB98" s="862">
        <f t="shared" ca="1" si="52"/>
        <v>0</v>
      </c>
      <c r="CC98" s="862">
        <f t="shared" ca="1" si="52"/>
        <v>0</v>
      </c>
      <c r="CD98" s="862">
        <f t="shared" ca="1" si="52"/>
        <v>0</v>
      </c>
      <c r="CE98" s="862">
        <f t="shared" ca="1" si="52"/>
        <v>0</v>
      </c>
      <c r="CF98" s="862">
        <f t="shared" ca="1" si="52"/>
        <v>0</v>
      </c>
      <c r="CG98" s="862">
        <f t="shared" ca="1" si="52"/>
        <v>0</v>
      </c>
      <c r="CH98" s="862">
        <f t="shared" ca="1" si="52"/>
        <v>0</v>
      </c>
      <c r="CI98" s="862">
        <f t="shared" ca="1" si="52"/>
        <v>0</v>
      </c>
      <c r="CJ98" s="862">
        <f t="shared" ca="1" si="52"/>
        <v>0</v>
      </c>
      <c r="CK98" s="862">
        <f t="shared" ca="1" si="52"/>
        <v>0</v>
      </c>
      <c r="CL98" s="862">
        <f t="shared" ca="1" si="52"/>
        <v>0</v>
      </c>
      <c r="CM98" s="862">
        <f t="shared" ca="1" si="52"/>
        <v>0</v>
      </c>
      <c r="CN98" s="862">
        <f t="shared" ca="1" si="52"/>
        <v>0</v>
      </c>
      <c r="CO98" s="862">
        <f t="shared" ca="1" si="52"/>
        <v>0</v>
      </c>
      <c r="CP98" s="862">
        <f t="shared" ca="1" si="52"/>
        <v>0</v>
      </c>
      <c r="CQ98" s="862">
        <f t="shared" ca="1" si="52"/>
        <v>0</v>
      </c>
      <c r="CR98" s="862">
        <f t="shared" ca="1" si="52"/>
        <v>0</v>
      </c>
      <c r="CS98" s="862">
        <f t="shared" ca="1" si="52"/>
        <v>0</v>
      </c>
      <c r="CT98" s="862">
        <f t="shared" ca="1" si="52"/>
        <v>0</v>
      </c>
      <c r="CU98" s="862">
        <f t="shared" ca="1" si="52"/>
        <v>0</v>
      </c>
      <c r="CV98" s="862">
        <f t="shared" ca="1" si="52"/>
        <v>0</v>
      </c>
      <c r="CW98" s="862">
        <f t="shared" ca="1" si="52"/>
        <v>0</v>
      </c>
      <c r="CX98" s="862">
        <f t="shared" ca="1" si="52"/>
        <v>0</v>
      </c>
      <c r="CY98" s="864">
        <f t="shared" ca="1" si="52"/>
        <v>0</v>
      </c>
    </row>
    <row r="99" spans="1:103" ht="15.5" x14ac:dyDescent="0.35">
      <c r="A99" s="288"/>
      <c r="B99" s="288"/>
      <c r="C99" s="459"/>
      <c r="D99" s="606"/>
      <c r="E99" s="288"/>
      <c r="F99" s="288"/>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607"/>
      <c r="AP99" s="288"/>
      <c r="AQ99" s="288"/>
      <c r="AR99" s="288"/>
      <c r="AS99" s="288"/>
      <c r="AT99" s="288"/>
      <c r="AU99" s="288"/>
      <c r="AV99" s="288"/>
      <c r="AW99" s="288"/>
      <c r="AX99" s="288"/>
      <c r="AY99" s="288"/>
      <c r="AZ99" s="288"/>
      <c r="BA99" s="288"/>
      <c r="BB99" s="288"/>
      <c r="BC99" s="288"/>
      <c r="BD99" s="288"/>
      <c r="BE99" s="288"/>
      <c r="BF99" s="288"/>
      <c r="BG99" s="288"/>
      <c r="BH99" s="288"/>
      <c r="BI99" s="288"/>
      <c r="BJ99" s="288"/>
      <c r="BK99" s="607"/>
      <c r="BL99" s="288"/>
      <c r="BM99" s="288"/>
      <c r="BN99" s="288"/>
      <c r="BO99" s="288"/>
      <c r="BP99" s="288"/>
      <c r="BQ99" s="288"/>
      <c r="BR99" s="288"/>
      <c r="BS99" s="288"/>
      <c r="BT99" s="288"/>
      <c r="BU99" s="288"/>
      <c r="BV99" s="288"/>
      <c r="BW99" s="288"/>
      <c r="BX99" s="288"/>
      <c r="BY99" s="288"/>
      <c r="BZ99" s="288"/>
      <c r="CA99" s="607"/>
      <c r="CB99" s="288"/>
      <c r="CC99" s="288"/>
      <c r="CD99" s="288"/>
      <c r="CE99" s="288"/>
      <c r="CF99" s="288"/>
      <c r="CG99" s="288"/>
      <c r="CH99" s="288"/>
      <c r="CI99" s="288"/>
      <c r="CJ99" s="288"/>
      <c r="CK99" s="288"/>
      <c r="CL99" s="288"/>
      <c r="CM99" s="288"/>
      <c r="CN99" s="288"/>
      <c r="CO99" s="288"/>
      <c r="CP99" s="288"/>
      <c r="CQ99" s="288"/>
      <c r="CR99" s="288"/>
      <c r="CS99" s="288"/>
      <c r="CT99" s="288"/>
      <c r="CU99" s="288"/>
      <c r="CV99" s="288"/>
      <c r="CW99" s="288"/>
      <c r="CX99" s="288"/>
      <c r="CY99" s="608"/>
    </row>
    <row r="100" spans="1:103" ht="15.5" x14ac:dyDescent="0.35">
      <c r="A100" s="609" t="s">
        <v>578</v>
      </c>
      <c r="B100" s="288"/>
      <c r="C100" s="459"/>
      <c r="D100" s="610"/>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607"/>
      <c r="AP100" s="288"/>
      <c r="AQ100" s="288"/>
      <c r="AR100" s="288"/>
      <c r="AS100" s="288"/>
      <c r="AT100" s="288"/>
      <c r="AU100" s="288"/>
      <c r="AV100" s="288"/>
      <c r="AW100" s="288"/>
      <c r="AX100" s="288"/>
      <c r="AY100" s="288"/>
      <c r="AZ100" s="288"/>
      <c r="BA100" s="288"/>
      <c r="BB100" s="288"/>
      <c r="BC100" s="288"/>
      <c r="BD100" s="288"/>
      <c r="BE100" s="288"/>
      <c r="BF100" s="288"/>
      <c r="BG100" s="288"/>
      <c r="BH100" s="288"/>
      <c r="BI100" s="288"/>
      <c r="BJ100" s="288"/>
      <c r="BK100" s="607"/>
      <c r="BL100" s="288"/>
      <c r="BM100" s="288"/>
      <c r="BN100" s="288"/>
      <c r="BO100" s="288"/>
      <c r="BP100" s="288"/>
      <c r="BQ100" s="288"/>
      <c r="BR100" s="288"/>
      <c r="BS100" s="288"/>
      <c r="BT100" s="288"/>
      <c r="BU100" s="288"/>
      <c r="BV100" s="288"/>
      <c r="BW100" s="288"/>
      <c r="BX100" s="288"/>
      <c r="BY100" s="288"/>
      <c r="BZ100" s="288"/>
      <c r="CA100" s="607"/>
      <c r="CB100" s="288"/>
      <c r="CC100" s="288"/>
      <c r="CD100" s="288"/>
      <c r="CE100" s="288"/>
      <c r="CF100" s="288"/>
      <c r="CG100" s="288"/>
      <c r="CH100" s="288"/>
      <c r="CI100" s="288"/>
      <c r="CJ100" s="288"/>
      <c r="CK100" s="288"/>
      <c r="CL100" s="288"/>
      <c r="CM100" s="288"/>
      <c r="CN100" s="288"/>
      <c r="CO100" s="288"/>
      <c r="CP100" s="288"/>
      <c r="CQ100" s="288"/>
      <c r="CR100" s="288"/>
      <c r="CS100" s="288"/>
      <c r="CT100" s="288"/>
      <c r="CU100" s="288"/>
      <c r="CV100" s="288"/>
      <c r="CW100" s="288"/>
      <c r="CX100" s="288"/>
      <c r="CY100" s="608"/>
    </row>
    <row r="101" spans="1:103" ht="16" thickBot="1" x14ac:dyDescent="0.4">
      <c r="A101" s="609"/>
      <c r="B101" s="288"/>
      <c r="C101" s="459"/>
      <c r="D101" s="610"/>
      <c r="E101" s="288"/>
      <c r="F101" s="288"/>
      <c r="G101" s="288"/>
      <c r="H101" s="288"/>
      <c r="I101" s="288"/>
      <c r="J101" s="288"/>
      <c r="K101" s="288"/>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607"/>
      <c r="AP101" s="288"/>
      <c r="AQ101" s="288"/>
      <c r="AR101" s="288"/>
      <c r="AS101" s="288"/>
      <c r="AT101" s="288"/>
      <c r="AU101" s="288"/>
      <c r="AV101" s="288"/>
      <c r="AW101" s="288"/>
      <c r="AX101" s="288"/>
      <c r="AY101" s="288"/>
      <c r="AZ101" s="288"/>
      <c r="BA101" s="288"/>
      <c r="BB101" s="288"/>
      <c r="BC101" s="288"/>
      <c r="BD101" s="288"/>
      <c r="BE101" s="288"/>
      <c r="BF101" s="288"/>
      <c r="BG101" s="288"/>
      <c r="BH101" s="288"/>
      <c r="BI101" s="288"/>
      <c r="BJ101" s="288"/>
      <c r="BK101" s="607"/>
      <c r="BL101" s="288"/>
      <c r="BM101" s="288"/>
      <c r="BN101" s="288"/>
      <c r="BO101" s="288"/>
      <c r="BP101" s="288"/>
      <c r="BQ101" s="288"/>
      <c r="BR101" s="288"/>
      <c r="BS101" s="288"/>
      <c r="BT101" s="288"/>
      <c r="BU101" s="288"/>
      <c r="BV101" s="288"/>
      <c r="BW101" s="288"/>
      <c r="BX101" s="288"/>
      <c r="BY101" s="288"/>
      <c r="BZ101" s="288"/>
      <c r="CA101" s="607"/>
      <c r="CB101" s="288"/>
      <c r="CC101" s="288"/>
      <c r="CD101" s="288"/>
      <c r="CE101" s="288"/>
      <c r="CF101" s="288"/>
      <c r="CG101" s="288"/>
      <c r="CH101" s="288"/>
      <c r="CI101" s="288"/>
      <c r="CJ101" s="288"/>
      <c r="CK101" s="288"/>
      <c r="CL101" s="288"/>
      <c r="CM101" s="288"/>
      <c r="CN101" s="288"/>
      <c r="CO101" s="288"/>
      <c r="CP101" s="288"/>
      <c r="CQ101" s="288"/>
      <c r="CR101" s="288"/>
      <c r="CS101" s="288"/>
      <c r="CT101" s="288"/>
      <c r="CU101" s="288"/>
      <c r="CV101" s="288"/>
      <c r="CW101" s="288"/>
      <c r="CX101" s="288"/>
      <c r="CY101" s="608"/>
    </row>
    <row r="102" spans="1:103" ht="15" customHeight="1" thickBot="1" x14ac:dyDescent="0.4">
      <c r="A102" s="611" t="s">
        <v>81</v>
      </c>
      <c r="B102" s="612"/>
      <c r="C102" s="613">
        <f>SUM(D102:CY102)</f>
        <v>0</v>
      </c>
      <c r="D102" s="614">
        <f>IF(D4&lt;'Data entry'!$B$13,'Data entry'!$K$106,0)</f>
        <v>0</v>
      </c>
      <c r="E102" s="614">
        <f>IF(E4&lt;'Data entry'!$B$13,'Data entry'!$K$106,0)</f>
        <v>0</v>
      </c>
      <c r="F102" s="614">
        <f>IF(F4&lt;'Data entry'!$B$13,'Data entry'!$K$106,0)</f>
        <v>0</v>
      </c>
      <c r="G102" s="614">
        <f>IF(G4&lt;'Data entry'!$B$13,'Data entry'!$K$106,0)</f>
        <v>0</v>
      </c>
      <c r="H102" s="614">
        <f>IF(H4&lt;'Data entry'!$B$13,'Data entry'!$K$106,0)</f>
        <v>0</v>
      </c>
      <c r="I102" s="614">
        <f>IF(I4&lt;'Data entry'!$B$13,'Data entry'!$K$106,0)</f>
        <v>0</v>
      </c>
      <c r="J102" s="614">
        <f>IF(J4&lt;'Data entry'!$B$13,'Data entry'!$K$106,0)</f>
        <v>0</v>
      </c>
      <c r="K102" s="614">
        <f>IF(K4&lt;'Data entry'!$B$13,'Data entry'!$K$106,0)</f>
        <v>0</v>
      </c>
      <c r="L102" s="614">
        <f>IF(L4&lt;'Data entry'!$B$13,'Data entry'!$K$106,0)</f>
        <v>0</v>
      </c>
      <c r="M102" s="614">
        <f>IF(M4&lt;'Data entry'!$B$13,'Data entry'!$K$106,0)</f>
        <v>0</v>
      </c>
      <c r="N102" s="614">
        <f>IF(N4&lt;'Data entry'!$B$13,'Data entry'!$K$106,0)</f>
        <v>0</v>
      </c>
      <c r="O102" s="614">
        <f>IF(O4&lt;'Data entry'!$B$13,'Data entry'!$K$106,0)</f>
        <v>0</v>
      </c>
      <c r="P102" s="614">
        <f>IF(P4&lt;'Data entry'!$B$13,'Data entry'!$K$106,0)</f>
        <v>0</v>
      </c>
      <c r="Q102" s="614">
        <f>IF(Q4&lt;'Data entry'!$B$13,'Data entry'!$K$106,0)</f>
        <v>0</v>
      </c>
      <c r="R102" s="614">
        <f>IF(R4&lt;'Data entry'!$B$13,'Data entry'!$K$106,0)</f>
        <v>0</v>
      </c>
      <c r="S102" s="614">
        <f>IF(S4&lt;'Data entry'!$B$13,'Data entry'!$K$106,0)</f>
        <v>0</v>
      </c>
      <c r="T102" s="614">
        <f>IF(T4&lt;'Data entry'!$B$13,'Data entry'!$K$106,0)</f>
        <v>0</v>
      </c>
      <c r="U102" s="614">
        <f>IF(U4&lt;'Data entry'!$B$13,'Data entry'!$K$106,0)</f>
        <v>0</v>
      </c>
      <c r="V102" s="614">
        <f>IF(V4&lt;'Data entry'!$B$13,'Data entry'!$K$106,0)</f>
        <v>0</v>
      </c>
      <c r="W102" s="614">
        <f>IF(W4&lt;'Data entry'!$B$13,'Data entry'!$K$106,0)</f>
        <v>0</v>
      </c>
      <c r="X102" s="614">
        <f>IF(X4&lt;'Data entry'!$B$13,'Data entry'!$K$106,0)</f>
        <v>0</v>
      </c>
      <c r="Y102" s="614">
        <f>IF(Y4&lt;'Data entry'!$B$13,'Data entry'!$K$106,0)</f>
        <v>0</v>
      </c>
      <c r="Z102" s="614">
        <f>IF(Z4&lt;'Data entry'!$B$13,'Data entry'!$K$106,0)</f>
        <v>0</v>
      </c>
      <c r="AA102" s="614">
        <f>IF(AA4&lt;'Data entry'!$B$13,'Data entry'!$K$106,0)</f>
        <v>0</v>
      </c>
      <c r="AB102" s="614">
        <f>IF(AB4&lt;'Data entry'!$B$13,'Data entry'!$K$106,0)</f>
        <v>0</v>
      </c>
      <c r="AC102" s="614">
        <f>IF(AC4&lt;'Data entry'!$B$13,'Data entry'!$K$106,0)</f>
        <v>0</v>
      </c>
      <c r="AD102" s="614">
        <f>IF(AD4&lt;'Data entry'!$B$13,'Data entry'!$K$106,0)</f>
        <v>0</v>
      </c>
      <c r="AE102" s="614">
        <f>IF(AE4&lt;'Data entry'!$B$13,'Data entry'!$K$106,0)</f>
        <v>0</v>
      </c>
      <c r="AF102" s="614">
        <f>IF(AF4&lt;'Data entry'!$B$13,'Data entry'!$K$106,0)</f>
        <v>0</v>
      </c>
      <c r="AG102" s="614">
        <f>IF(AG4&lt;'Data entry'!$B$13,'Data entry'!$K$106,0)</f>
        <v>0</v>
      </c>
      <c r="AH102" s="614">
        <f>IF(AH4&lt;'Data entry'!$B$13,'Data entry'!$K$106,0)</f>
        <v>0</v>
      </c>
      <c r="AI102" s="614">
        <f>IF(AI4&lt;'Data entry'!$B$13,'Data entry'!$K$106,0)</f>
        <v>0</v>
      </c>
      <c r="AJ102" s="614">
        <f>IF(AJ4&lt;'Data entry'!$B$13,'Data entry'!$K$106,0)</f>
        <v>0</v>
      </c>
      <c r="AK102" s="614">
        <f>IF(AK4&lt;'Data entry'!$B$13,'Data entry'!$K$106,0)</f>
        <v>0</v>
      </c>
      <c r="AL102" s="614">
        <f>IF(AL4&lt;'Data entry'!$B$13,'Data entry'!$K$106,0)</f>
        <v>0</v>
      </c>
      <c r="AM102" s="614">
        <f>IF(AM4&lt;'Data entry'!$B$13,'Data entry'!$K$106,0)</f>
        <v>0</v>
      </c>
      <c r="AN102" s="614">
        <f>IF(AN4&lt;'Data entry'!$B$13,'Data entry'!$K$106,0)</f>
        <v>0</v>
      </c>
      <c r="AO102" s="615">
        <f>IF(AO4&lt;'Data entry'!$B$13,'Data entry'!$K$106,0)</f>
        <v>0</v>
      </c>
      <c r="AP102" s="614">
        <f>IF(AP4&lt;'Data entry'!$B$13,'Data entry'!$K$106,0)</f>
        <v>0</v>
      </c>
      <c r="AQ102" s="614">
        <f>IF(AQ4&lt;'Data entry'!$B$13,'Data entry'!$K$106,0)</f>
        <v>0</v>
      </c>
      <c r="AR102" s="614">
        <f>IF(AR4&lt;'Data entry'!$B$13,'Data entry'!$K$106,0)</f>
        <v>0</v>
      </c>
      <c r="AS102" s="614">
        <f>IF(AS4&lt;'Data entry'!$B$13,'Data entry'!$K$106,0)</f>
        <v>0</v>
      </c>
      <c r="AT102" s="614">
        <f>IF(AT4&lt;'Data entry'!$B$13,'Data entry'!$K$106,0)</f>
        <v>0</v>
      </c>
      <c r="AU102" s="614">
        <f>IF(AU4&lt;'Data entry'!$B$13,'Data entry'!$K$106,0)</f>
        <v>0</v>
      </c>
      <c r="AV102" s="614">
        <f>IF(AV4&lt;'Data entry'!$B$13,'Data entry'!$K$106,0)</f>
        <v>0</v>
      </c>
      <c r="AW102" s="614">
        <f>IF(AW4&lt;'Data entry'!$B$13,'Data entry'!$K$106,0)</f>
        <v>0</v>
      </c>
      <c r="AX102" s="614">
        <f>IF(AX4&lt;'Data entry'!$B$13,'Data entry'!$K$106,0)</f>
        <v>0</v>
      </c>
      <c r="AY102" s="614">
        <f>IF(AY4&lt;'Data entry'!$B$13,'Data entry'!$K$106,0)</f>
        <v>0</v>
      </c>
      <c r="AZ102" s="614">
        <f>IF(AZ4&lt;'Data entry'!$B$13,'Data entry'!$K$106,0)</f>
        <v>0</v>
      </c>
      <c r="BA102" s="614">
        <f>IF(BA4&lt;'Data entry'!$B$13,'Data entry'!$K$106,0)</f>
        <v>0</v>
      </c>
      <c r="BB102" s="614">
        <f>IF(BB4&lt;'Data entry'!$B$13,'Data entry'!$K$106,0)</f>
        <v>0</v>
      </c>
      <c r="BC102" s="614">
        <f>IF(BC4&lt;'Data entry'!$B$13,'Data entry'!$K$106,0)</f>
        <v>0</v>
      </c>
      <c r="BD102" s="614">
        <f>IF(BD4&lt;'Data entry'!$B$13,'Data entry'!$K$106,0)</f>
        <v>0</v>
      </c>
      <c r="BE102" s="614">
        <f>IF(BE4&lt;'Data entry'!$B$13,'Data entry'!$K$106,0)</f>
        <v>0</v>
      </c>
      <c r="BF102" s="614">
        <f>IF(BF4&lt;'Data entry'!$B$13,'Data entry'!$K$106,0)</f>
        <v>0</v>
      </c>
      <c r="BG102" s="614">
        <f>IF(BG4&lt;'Data entry'!$B$13,'Data entry'!$K$106,0)</f>
        <v>0</v>
      </c>
      <c r="BH102" s="614">
        <f>IF(BH4&lt;'Data entry'!$B$13,'Data entry'!$K$106,0)</f>
        <v>0</v>
      </c>
      <c r="BI102" s="614">
        <f>IF(BI4&lt;'Data entry'!$B$13,'Data entry'!$K$106,0)</f>
        <v>0</v>
      </c>
      <c r="BJ102" s="614">
        <f>IF(BJ4&lt;'Data entry'!$B$13,'Data entry'!$K$106,0)</f>
        <v>0</v>
      </c>
      <c r="BK102" s="615">
        <f>IF(BK4&lt;'Data entry'!$B$13,'Data entry'!$K$106,0)</f>
        <v>0</v>
      </c>
      <c r="BL102" s="614">
        <f>IF(BL4&lt;'Data entry'!$B$13,'Data entry'!$K$106,0)</f>
        <v>0</v>
      </c>
      <c r="BM102" s="614">
        <f>IF(BM4&lt;'Data entry'!$B$13,'Data entry'!$K$106,0)</f>
        <v>0</v>
      </c>
      <c r="BN102" s="614">
        <f>IF(BN4&lt;'Data entry'!$B$13,'Data entry'!$K$106,0)</f>
        <v>0</v>
      </c>
      <c r="BO102" s="614">
        <f>IF(BO4&lt;'Data entry'!$B$13,'Data entry'!$K$106,0)</f>
        <v>0</v>
      </c>
      <c r="BP102" s="614">
        <f>IF(BP4&lt;'Data entry'!$B$13,'Data entry'!$K$106,0)</f>
        <v>0</v>
      </c>
      <c r="BQ102" s="614">
        <f>IF(BQ4&lt;'Data entry'!$B$13,'Data entry'!$K$106,0)</f>
        <v>0</v>
      </c>
      <c r="BR102" s="614">
        <f>IF(BR4&lt;'Data entry'!$B$13,'Data entry'!$K$106,0)</f>
        <v>0</v>
      </c>
      <c r="BS102" s="614">
        <f>IF(BS4&lt;'Data entry'!$B$13,'Data entry'!$K$106,0)</f>
        <v>0</v>
      </c>
      <c r="BT102" s="614">
        <f>IF(BT4&lt;'Data entry'!$B$13,'Data entry'!$K$106,0)</f>
        <v>0</v>
      </c>
      <c r="BU102" s="614">
        <f>IF(BU4&lt;'Data entry'!$B$13,'Data entry'!$K$106,0)</f>
        <v>0</v>
      </c>
      <c r="BV102" s="614">
        <f>IF(BV4&lt;'Data entry'!$B$13,'Data entry'!$K$106,0)</f>
        <v>0</v>
      </c>
      <c r="BW102" s="614">
        <f>IF(BW4&lt;'Data entry'!$B$13,'Data entry'!$K$106,0)</f>
        <v>0</v>
      </c>
      <c r="BX102" s="614">
        <f>IF(BX4&lt;'Data entry'!$B$13,'Data entry'!$K$106,0)</f>
        <v>0</v>
      </c>
      <c r="BY102" s="614">
        <f>IF(BY4&lt;'Data entry'!$B$13,'Data entry'!$K$106,0)</f>
        <v>0</v>
      </c>
      <c r="BZ102" s="614">
        <f>IF(BZ4&lt;'Data entry'!$B$13,'Data entry'!$K$106,0)</f>
        <v>0</v>
      </c>
      <c r="CA102" s="615">
        <f>IF(CA4&lt;'Data entry'!$B$13,'Data entry'!$K$106,0)</f>
        <v>0</v>
      </c>
      <c r="CB102" s="614">
        <f>IF(CB4&lt;'Data entry'!$B$13,'Data entry'!$K$106,0)</f>
        <v>0</v>
      </c>
      <c r="CC102" s="614">
        <f>IF(CC4&lt;'Data entry'!$B$13,'Data entry'!$K$106,0)</f>
        <v>0</v>
      </c>
      <c r="CD102" s="614">
        <f>IF(CD4&lt;'Data entry'!$B$13,'Data entry'!$K$106,0)</f>
        <v>0</v>
      </c>
      <c r="CE102" s="614">
        <f>IF(CE4&lt;'Data entry'!$B$13,'Data entry'!$K$106,0)</f>
        <v>0</v>
      </c>
      <c r="CF102" s="614">
        <f>IF(CF4&lt;'Data entry'!$B$13,'Data entry'!$K$106,0)</f>
        <v>0</v>
      </c>
      <c r="CG102" s="614">
        <f>IF(CG4&lt;'Data entry'!$B$13,'Data entry'!$K$106,0)</f>
        <v>0</v>
      </c>
      <c r="CH102" s="614">
        <f>IF(CH4&lt;'Data entry'!$B$13,'Data entry'!$K$106,0)</f>
        <v>0</v>
      </c>
      <c r="CI102" s="614">
        <f>IF(CI4&lt;'Data entry'!$B$13,'Data entry'!$K$106,0)</f>
        <v>0</v>
      </c>
      <c r="CJ102" s="614">
        <f>IF(CJ4&lt;'Data entry'!$B$13,'Data entry'!$K$106,0)</f>
        <v>0</v>
      </c>
      <c r="CK102" s="614">
        <f>IF(CK4&lt;'Data entry'!$B$13,'Data entry'!$K$106,0)</f>
        <v>0</v>
      </c>
      <c r="CL102" s="614">
        <f>IF(CL4&lt;'Data entry'!$B$13,'Data entry'!$K$106,0)</f>
        <v>0</v>
      </c>
      <c r="CM102" s="614">
        <f>IF(CM4&lt;'Data entry'!$B$13,'Data entry'!$K$106,0)</f>
        <v>0</v>
      </c>
      <c r="CN102" s="614">
        <f>IF(CN4&lt;'Data entry'!$B$13,'Data entry'!$K$106,0)</f>
        <v>0</v>
      </c>
      <c r="CO102" s="614">
        <f>IF(CO4&lt;'Data entry'!$B$13,'Data entry'!$K$106,0)</f>
        <v>0</v>
      </c>
      <c r="CP102" s="614">
        <f>IF(CP4&lt;'Data entry'!$B$13,'Data entry'!$K$106,0)</f>
        <v>0</v>
      </c>
      <c r="CQ102" s="614">
        <f>IF(CQ4&lt;'Data entry'!$B$13,'Data entry'!$K$106,0)</f>
        <v>0</v>
      </c>
      <c r="CR102" s="614">
        <f>IF(CR4&lt;'Data entry'!$B$13,'Data entry'!$K$106,0)</f>
        <v>0</v>
      </c>
      <c r="CS102" s="614">
        <f>IF(CS4&lt;'Data entry'!$B$13,'Data entry'!$K$106,0)</f>
        <v>0</v>
      </c>
      <c r="CT102" s="614">
        <f>IF(CT4&lt;'Data entry'!$B$13,'Data entry'!$K$106,0)</f>
        <v>0</v>
      </c>
      <c r="CU102" s="614">
        <f>IF(CU4&lt;'Data entry'!$B$13,'Data entry'!$K$106,0)</f>
        <v>0</v>
      </c>
      <c r="CV102" s="614">
        <f>IF(CV4&lt;'Data entry'!$B$13,'Data entry'!$K$106,0)</f>
        <v>0</v>
      </c>
      <c r="CW102" s="614">
        <f>IF(CW4&lt;'Data entry'!$B$13,'Data entry'!$K$106,0)</f>
        <v>0</v>
      </c>
      <c r="CX102" s="614">
        <f>IF(CX4&lt;'Data entry'!$B$13,'Data entry'!$K$106,0)</f>
        <v>0</v>
      </c>
      <c r="CY102" s="616">
        <f>IF(CY4&lt;'Data entry'!$B$13,'Data entry'!$K$106,0)</f>
        <v>0</v>
      </c>
    </row>
    <row r="103" spans="1:103" ht="15" customHeight="1" thickBot="1" x14ac:dyDescent="0.4">
      <c r="A103" s="550"/>
      <c r="B103" s="535"/>
      <c r="C103" s="536"/>
      <c r="D103" s="491"/>
      <c r="E103" s="491"/>
      <c r="F103" s="491"/>
      <c r="G103" s="491"/>
      <c r="H103" s="491"/>
      <c r="I103" s="491"/>
      <c r="J103" s="491"/>
      <c r="K103" s="491"/>
      <c r="L103" s="491"/>
      <c r="M103" s="491"/>
      <c r="N103" s="491"/>
      <c r="O103" s="491"/>
      <c r="P103" s="491"/>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2"/>
      <c r="AP103" s="491"/>
      <c r="AQ103" s="491"/>
      <c r="AR103" s="491"/>
      <c r="AS103" s="491"/>
      <c r="AT103" s="491"/>
      <c r="AU103" s="491"/>
      <c r="AV103" s="491"/>
      <c r="AW103" s="491"/>
      <c r="AX103" s="491"/>
      <c r="AY103" s="491"/>
      <c r="AZ103" s="491"/>
      <c r="BA103" s="491"/>
      <c r="BB103" s="491"/>
      <c r="BC103" s="491"/>
      <c r="BD103" s="491"/>
      <c r="BE103" s="491"/>
      <c r="BF103" s="491"/>
      <c r="BG103" s="491"/>
      <c r="BH103" s="491"/>
      <c r="BI103" s="491"/>
      <c r="BJ103" s="491"/>
      <c r="BK103" s="492"/>
      <c r="BL103" s="491"/>
      <c r="BM103" s="491"/>
      <c r="BN103" s="491"/>
      <c r="BO103" s="491"/>
      <c r="BP103" s="491"/>
      <c r="BQ103" s="491"/>
      <c r="BR103" s="491"/>
      <c r="BS103" s="491"/>
      <c r="BT103" s="491"/>
      <c r="BU103" s="491"/>
      <c r="BV103" s="491"/>
      <c r="BW103" s="491"/>
      <c r="BX103" s="491"/>
      <c r="BY103" s="491"/>
      <c r="BZ103" s="491"/>
      <c r="CA103" s="492"/>
      <c r="CB103" s="491"/>
      <c r="CC103" s="491"/>
      <c r="CD103" s="491"/>
      <c r="CE103" s="491"/>
      <c r="CF103" s="491"/>
      <c r="CG103" s="491"/>
      <c r="CH103" s="491"/>
      <c r="CI103" s="491"/>
      <c r="CJ103" s="491"/>
      <c r="CK103" s="491"/>
      <c r="CL103" s="491"/>
      <c r="CM103" s="491"/>
      <c r="CN103" s="491"/>
      <c r="CO103" s="491"/>
      <c r="CP103" s="491"/>
      <c r="CQ103" s="491"/>
      <c r="CR103" s="491"/>
      <c r="CS103" s="491"/>
      <c r="CT103" s="491"/>
      <c r="CU103" s="491"/>
      <c r="CV103" s="491"/>
      <c r="CW103" s="491"/>
      <c r="CX103" s="491"/>
      <c r="CY103" s="493"/>
    </row>
    <row r="104" spans="1:103" s="870" customFormat="1" ht="15" customHeight="1" thickBot="1" x14ac:dyDescent="0.4">
      <c r="A104" s="896" t="s">
        <v>579</v>
      </c>
      <c r="B104" s="865"/>
      <c r="C104" s="866">
        <f>SUM(D104:CY104)</f>
        <v>0</v>
      </c>
      <c r="D104" s="867">
        <f>IF('Data entry'!$H$5="3.5% Declining",D102*D77,D102/((1+D78)^D4))</f>
        <v>0</v>
      </c>
      <c r="E104" s="867">
        <f>IF('Data entry'!$H$5="3.5% Declining",E102*E77,E102/((1+E78)^E4))</f>
        <v>0</v>
      </c>
      <c r="F104" s="867">
        <f>IF('Data entry'!$H$5="3.5% Declining",F102*F77,F102/((1+F78)^F4))</f>
        <v>0</v>
      </c>
      <c r="G104" s="867">
        <f>IF('Data entry'!$H$5="3.5% Declining",G102*G77,G102/((1+G78)^G4))</f>
        <v>0</v>
      </c>
      <c r="H104" s="867">
        <f>IF('Data entry'!$H$5="3.5% Declining",H102*H77,H102/((1+H78)^H4))</f>
        <v>0</v>
      </c>
      <c r="I104" s="867">
        <f>IF('Data entry'!$H$5="3.5% Declining",I102*I77,I102/((1+I78)^I4))</f>
        <v>0</v>
      </c>
      <c r="J104" s="867">
        <f>IF('Data entry'!$H$5="3.5% Declining",J102*J77,J102/((1+J78)^J4))</f>
        <v>0</v>
      </c>
      <c r="K104" s="867">
        <f>IF('Data entry'!$H$5="3.5% Declining",K102*K77,K102/((1+K78)^K4))</f>
        <v>0</v>
      </c>
      <c r="L104" s="867">
        <f>IF('Data entry'!$H$5="3.5% Declining",L102*L77,L102/((1+L78)^L4))</f>
        <v>0</v>
      </c>
      <c r="M104" s="867">
        <f>IF('Data entry'!$H$5="3.5% Declining",M102*M77,M102/((1+M78)^M4))</f>
        <v>0</v>
      </c>
      <c r="N104" s="867">
        <f>IF('Data entry'!$H$5="3.5% Declining",N102*N77,N102/((1+N78)^N4))</f>
        <v>0</v>
      </c>
      <c r="O104" s="867">
        <f>IF('Data entry'!$H$5="3.5% Declining",O102*O77,O102/((1+O78)^O4))</f>
        <v>0</v>
      </c>
      <c r="P104" s="867">
        <f>IF('Data entry'!$H$5="3.5% Declining",P102*P77,P102/((1+P78)^P4))</f>
        <v>0</v>
      </c>
      <c r="Q104" s="867">
        <f>IF('Data entry'!$H$5="3.5% Declining",Q102*Q77,Q102/((1+Q78)^Q4))</f>
        <v>0</v>
      </c>
      <c r="R104" s="867">
        <f>IF('Data entry'!$H$5="3.5% Declining",R102*R77,R102/((1+R78)^R4))</f>
        <v>0</v>
      </c>
      <c r="S104" s="867">
        <f>IF('Data entry'!$H$5="3.5% Declining",S102*S77,S102/((1+S78)^S4))</f>
        <v>0</v>
      </c>
      <c r="T104" s="867">
        <f>IF('Data entry'!$H$5="3.5% Declining",T102*T77,T102/((1+T78)^T4))</f>
        <v>0</v>
      </c>
      <c r="U104" s="867">
        <f>IF('Data entry'!$H$5="3.5% Declining",U102*U77,U102/((1+U78)^U4))</f>
        <v>0</v>
      </c>
      <c r="V104" s="867">
        <f>IF('Data entry'!$H$5="3.5% Declining",V102*V77,V102/((1+V78)^V4))</f>
        <v>0</v>
      </c>
      <c r="W104" s="867">
        <f>IF('Data entry'!$H$5="3.5% Declining",W102*W77,W102/((1+W78)^W4))</f>
        <v>0</v>
      </c>
      <c r="X104" s="867">
        <f>IF('Data entry'!$H$5="3.5% Declining",X102*X77,X102/((1+X78)^X4))</f>
        <v>0</v>
      </c>
      <c r="Y104" s="867">
        <f>IF('Data entry'!$H$5="3.5% Declining",Y102*Y77,Y102/((1+Y78)^Y4))</f>
        <v>0</v>
      </c>
      <c r="Z104" s="867">
        <f>IF('Data entry'!$H$5="3.5% Declining",Z102*Z77,Z102/((1+Z78)^Z4))</f>
        <v>0</v>
      </c>
      <c r="AA104" s="867">
        <f>IF('Data entry'!$H$5="3.5% Declining",AA102*AA77,AA102/((1+AA78)^AA4))</f>
        <v>0</v>
      </c>
      <c r="AB104" s="867">
        <f>IF('Data entry'!$H$5="3.5% Declining",AB102*AB77,AB102/((1+AB78)^AB4))</f>
        <v>0</v>
      </c>
      <c r="AC104" s="867">
        <f>IF('Data entry'!$H$5="3.5% Declining",AC102*AC77,AC102/((1+AC78)^AC4))</f>
        <v>0</v>
      </c>
      <c r="AD104" s="867">
        <f>IF('Data entry'!$H$5="3.5% Declining",AD102*AD77,AD102/((1+AD78)^AD4))</f>
        <v>0</v>
      </c>
      <c r="AE104" s="867">
        <f>IF('Data entry'!$H$5="3.5% Declining",AE102*AE77,AE102/((1+AE78)^AE4))</f>
        <v>0</v>
      </c>
      <c r="AF104" s="867">
        <f>IF('Data entry'!$H$5="3.5% Declining",AF102*AF77,AF102/((1+AF78)^AF4))</f>
        <v>0</v>
      </c>
      <c r="AG104" s="867">
        <f>IF('Data entry'!$H$5="3.5% Declining",AG102*AG77,AG102/((1+AG78)^AG4))</f>
        <v>0</v>
      </c>
      <c r="AH104" s="867">
        <f>IF('Data entry'!$H$5="3.5% Declining",AH102*AH77,AH102/((1+AH78)^AH4))</f>
        <v>0</v>
      </c>
      <c r="AI104" s="867">
        <f>IF('Data entry'!$H$5="3.5% Declining",AI102*AI77,AI102/((1+AI78)^AI4))</f>
        <v>0</v>
      </c>
      <c r="AJ104" s="867">
        <f>IF('Data entry'!$H$5="3.5% Declining",AJ102*AJ77,AJ102/((1+AJ78)^AJ4))</f>
        <v>0</v>
      </c>
      <c r="AK104" s="867">
        <f>IF('Data entry'!$H$5="3.5% Declining",AK102*AK77,AK102/((1+AK78)^AK4))</f>
        <v>0</v>
      </c>
      <c r="AL104" s="867">
        <f>IF('Data entry'!$H$5="3.5% Declining",AL102*AL77,AL102/((1+AL78)^AL4))</f>
        <v>0</v>
      </c>
      <c r="AM104" s="867">
        <f>IF('Data entry'!$H$5="3.5% Declining",AM102*AM77,AM102/((1+AM78)^AM4))</f>
        <v>0</v>
      </c>
      <c r="AN104" s="867">
        <f>IF('Data entry'!$H$5="3.5% Declining",AN102*AN77,AN102/((1+AN78)^AN4))</f>
        <v>0</v>
      </c>
      <c r="AO104" s="868">
        <f>IF('Data entry'!$H$5="3.5% Declining",AO102*AO77,AO102/((1+AO78)^AO4))</f>
        <v>0</v>
      </c>
      <c r="AP104" s="867">
        <f>IF('Data entry'!$H$5="3.5% Declining",AP102*AP77,AP102/((1+AP78)^AP4))</f>
        <v>0</v>
      </c>
      <c r="AQ104" s="867">
        <f>IF('Data entry'!$H$5="3.5% Declining",AQ102*AQ77,AQ102/((1+AQ78)^AQ4))</f>
        <v>0</v>
      </c>
      <c r="AR104" s="867">
        <f>IF('Data entry'!$H$5="3.5% Declining",AR102*AR77,AR102/((1+AR78)^AR4))</f>
        <v>0</v>
      </c>
      <c r="AS104" s="867">
        <f>IF('Data entry'!$H$5="3.5% Declining",AS102*AS77,AS102/((1+AS78)^AS4))</f>
        <v>0</v>
      </c>
      <c r="AT104" s="867">
        <f>IF('Data entry'!$H$5="3.5% Declining",AT102*AT77,AT102/((1+AT78)^AT4))</f>
        <v>0</v>
      </c>
      <c r="AU104" s="867">
        <f>IF('Data entry'!$H$5="3.5% Declining",AU102*AU77,AU102/((1+AU78)^AU4))</f>
        <v>0</v>
      </c>
      <c r="AV104" s="867">
        <f>IF('Data entry'!$H$5="3.5% Declining",AV102*AV77,AV102/((1+AV78)^AV4))</f>
        <v>0</v>
      </c>
      <c r="AW104" s="867">
        <f>IF('Data entry'!$H$5="3.5% Declining",AW102*AW77,AW102/((1+AW78)^AW4))</f>
        <v>0</v>
      </c>
      <c r="AX104" s="867">
        <f>IF('Data entry'!$H$5="3.5% Declining",AX102*AX77,AX102/((1+AX78)^AX4))</f>
        <v>0</v>
      </c>
      <c r="AY104" s="867">
        <f>IF('Data entry'!$H$5="3.5% Declining",AY102*AY77,AY102/((1+AY78)^AY4))</f>
        <v>0</v>
      </c>
      <c r="AZ104" s="867">
        <f>IF('Data entry'!$H$5="3.5% Declining",AZ102*AZ77,AZ102/((1+AZ78)^AZ4))</f>
        <v>0</v>
      </c>
      <c r="BA104" s="867">
        <f>IF('Data entry'!$H$5="3.5% Declining",BA102*BA77,BA102/((1+BA78)^BA4))</f>
        <v>0</v>
      </c>
      <c r="BB104" s="867">
        <f>IF('Data entry'!$H$5="3.5% Declining",BB102*BB77,BB102/((1+BB78)^BB4))</f>
        <v>0</v>
      </c>
      <c r="BC104" s="867">
        <f>IF('Data entry'!$H$5="3.5% Declining",BC102*BC77,BC102/((1+BC78)^BC4))</f>
        <v>0</v>
      </c>
      <c r="BD104" s="867">
        <f>IF('Data entry'!$H$5="3.5% Declining",BD102*BD77,BD102/((1+BD78)^BD4))</f>
        <v>0</v>
      </c>
      <c r="BE104" s="867">
        <f>IF('Data entry'!$H$5="3.5% Declining",BE102*BE77,BE102/((1+BE78)^BE4))</f>
        <v>0</v>
      </c>
      <c r="BF104" s="867">
        <f>IF('Data entry'!$H$5="3.5% Declining",BF102*BF77,BF102/((1+BF78)^BF4))</f>
        <v>0</v>
      </c>
      <c r="BG104" s="867">
        <f>IF('Data entry'!$H$5="3.5% Declining",BG102*BG77,BG102/((1+BG78)^BG4))</f>
        <v>0</v>
      </c>
      <c r="BH104" s="867">
        <f>IF('Data entry'!$H$5="3.5% Declining",BH102*BH77,BH102/((1+BH78)^BH4))</f>
        <v>0</v>
      </c>
      <c r="BI104" s="867">
        <f>IF('Data entry'!$H$5="3.5% Declining",BI102*BI77,BI102/((1+BI78)^BI4))</f>
        <v>0</v>
      </c>
      <c r="BJ104" s="867">
        <f>IF('Data entry'!$H$5="3.5% Declining",BJ102*BJ77,BJ102/((1+BJ78)^BJ4))</f>
        <v>0</v>
      </c>
      <c r="BK104" s="868">
        <f>IF('Data entry'!$H$5="3.5% Declining",BK102*BK77,BK102/((1+BK78)^BK4))</f>
        <v>0</v>
      </c>
      <c r="BL104" s="867">
        <f>IF('Data entry'!$H$5="3.5% Declining",BL102*BL77,BL102/((1+BL78)^BL4))</f>
        <v>0</v>
      </c>
      <c r="BM104" s="867">
        <f>IF('Data entry'!$H$5="3.5% Declining",BM102*BM77,BM102/((1+BM78)^BM4))</f>
        <v>0</v>
      </c>
      <c r="BN104" s="867">
        <f>IF('Data entry'!$H$5="3.5% Declining",BN102*BN77,BN102/((1+BN78)^BN4))</f>
        <v>0</v>
      </c>
      <c r="BO104" s="867">
        <f>IF('Data entry'!$H$5="3.5% Declining",BO102*BO77,BO102/((1+BO78)^BO4))</f>
        <v>0</v>
      </c>
      <c r="BP104" s="867">
        <f>IF('Data entry'!$H$5="3.5% Declining",BP102*BP77,BP102/((1+BP78)^BP4))</f>
        <v>0</v>
      </c>
      <c r="BQ104" s="867">
        <f>IF('Data entry'!$H$5="3.5% Declining",BQ102*BQ77,BQ102/((1+BQ78)^BQ4))</f>
        <v>0</v>
      </c>
      <c r="BR104" s="867">
        <f>IF('Data entry'!$H$5="3.5% Declining",BR102*BR77,BR102/((1+BR78)^BR4))</f>
        <v>0</v>
      </c>
      <c r="BS104" s="867">
        <f>IF('Data entry'!$H$5="3.5% Declining",BS102*BS77,BS102/((1+BS78)^BS4))</f>
        <v>0</v>
      </c>
      <c r="BT104" s="867">
        <f>IF('Data entry'!$H$5="3.5% Declining",BT102*BT77,BT102/((1+BT78)^BT4))</f>
        <v>0</v>
      </c>
      <c r="BU104" s="867">
        <f>IF('Data entry'!$H$5="3.5% Declining",BU102*BU77,BU102/((1+BU78)^BU4))</f>
        <v>0</v>
      </c>
      <c r="BV104" s="867">
        <f>IF('Data entry'!$H$5="3.5% Declining",BV102*BV77,BV102/((1+BV78)^BV4))</f>
        <v>0</v>
      </c>
      <c r="BW104" s="867">
        <f>IF('Data entry'!$H$5="3.5% Declining",BW102*BW77,BW102/((1+BW78)^BW4))</f>
        <v>0</v>
      </c>
      <c r="BX104" s="867">
        <f>IF('Data entry'!$H$5="3.5% Declining",BX102*BX77,BX102/((1+BX78)^BX4))</f>
        <v>0</v>
      </c>
      <c r="BY104" s="867">
        <f>IF('Data entry'!$H$5="3.5% Declining",BY102*BY77,BY102/((1+BY78)^BY4))</f>
        <v>0</v>
      </c>
      <c r="BZ104" s="867">
        <f>IF('Data entry'!$H$5="3.5% Declining",BZ102*BZ77,BZ102/((1+BZ78)^BZ4))</f>
        <v>0</v>
      </c>
      <c r="CA104" s="868">
        <f>IF('Data entry'!$H$5="3.5% Declining",CA102*CA77,CA102/((1+CA78)^CA4))</f>
        <v>0</v>
      </c>
      <c r="CB104" s="867">
        <f>IF('Data entry'!$H$5="3.5% Declining",CB102*CB77,CB102/((1+CB78)^CB4))</f>
        <v>0</v>
      </c>
      <c r="CC104" s="867">
        <f>IF('Data entry'!$H$5="3.5% Declining",CC102*CC77,CC102/((1+CC78)^CC4))</f>
        <v>0</v>
      </c>
      <c r="CD104" s="867">
        <f>IF('Data entry'!$H$5="3.5% Declining",CD102*CD77,CD102/((1+CD78)^CD4))</f>
        <v>0</v>
      </c>
      <c r="CE104" s="867">
        <f>IF('Data entry'!$H$5="3.5% Declining",CE102*CE77,CE102/((1+CE78)^CE4))</f>
        <v>0</v>
      </c>
      <c r="CF104" s="867">
        <f>IF('Data entry'!$H$5="3.5% Declining",CF102*CF77,CF102/((1+CF78)^CF4))</f>
        <v>0</v>
      </c>
      <c r="CG104" s="867">
        <f>IF('Data entry'!$H$5="3.5% Declining",CG102*CG77,CG102/((1+CG78)^CG4))</f>
        <v>0</v>
      </c>
      <c r="CH104" s="867">
        <f>IF('Data entry'!$H$5="3.5% Declining",CH102*CH77,CH102/((1+CH78)^CH4))</f>
        <v>0</v>
      </c>
      <c r="CI104" s="867">
        <f>IF('Data entry'!$H$5="3.5% Declining",CI102*CI77,CI102/((1+CI78)^CI4))</f>
        <v>0</v>
      </c>
      <c r="CJ104" s="867">
        <f>IF('Data entry'!$H$5="3.5% Declining",CJ102*CJ77,CJ102/((1+CJ78)^CJ4))</f>
        <v>0</v>
      </c>
      <c r="CK104" s="867">
        <f>IF('Data entry'!$H$5="3.5% Declining",CK102*CK77,CK102/((1+CK78)^CK4))</f>
        <v>0</v>
      </c>
      <c r="CL104" s="867">
        <f>IF('Data entry'!$H$5="3.5% Declining",CL102*CL77,CL102/((1+CL78)^CL4))</f>
        <v>0</v>
      </c>
      <c r="CM104" s="867">
        <f>IF('Data entry'!$H$5="3.5% Declining",CM102*CM77,CM102/((1+CM78)^CM4))</f>
        <v>0</v>
      </c>
      <c r="CN104" s="867">
        <f>IF('Data entry'!$H$5="3.5% Declining",CN102*CN77,CN102/((1+CN78)^CN4))</f>
        <v>0</v>
      </c>
      <c r="CO104" s="867">
        <f>IF('Data entry'!$H$5="3.5% Declining",CO102*CO77,CO102/((1+CO78)^CO4))</f>
        <v>0</v>
      </c>
      <c r="CP104" s="867">
        <f>IF('Data entry'!$H$5="3.5% Declining",CP102*CP77,CP102/((1+CP78)^CP4))</f>
        <v>0</v>
      </c>
      <c r="CQ104" s="867">
        <f>IF('Data entry'!$H$5="3.5% Declining",CQ102*CQ77,CQ102/((1+CQ78)^CQ4))</f>
        <v>0</v>
      </c>
      <c r="CR104" s="867">
        <f>IF('Data entry'!$H$5="3.5% Declining",CR102*CR77,CR102/((1+CR78)^CR4))</f>
        <v>0</v>
      </c>
      <c r="CS104" s="867">
        <f>IF('Data entry'!$H$5="3.5% Declining",CS102*CS77,CS102/((1+CS78)^CS4))</f>
        <v>0</v>
      </c>
      <c r="CT104" s="867">
        <f>IF('Data entry'!$H$5="3.5% Declining",CT102*CT77,CT102/((1+CT78)^CT4))</f>
        <v>0</v>
      </c>
      <c r="CU104" s="867">
        <f>IF('Data entry'!$H$5="3.5% Declining",CU102*CU77,CU102/((1+CU78)^CU4))</f>
        <v>0</v>
      </c>
      <c r="CV104" s="867">
        <f>IF('Data entry'!$H$5="3.5% Declining",CV102*CV77,CV102/((1+CV78)^CV4))</f>
        <v>0</v>
      </c>
      <c r="CW104" s="867">
        <f>IF('Data entry'!$H$5="3.5% Declining",CW102*CW77,CW102/((1+CW78)^CW4))</f>
        <v>0</v>
      </c>
      <c r="CX104" s="867">
        <f>IF('Data entry'!$H$5="3.5% Declining",CX102*CX77,CX102/((1+CX78)^CX4))</f>
        <v>0</v>
      </c>
      <c r="CY104" s="869">
        <f>IF('Data entry'!$H$5="3.5% Declining",CY102*CY77,CY102/((1+CY78)^CY4))</f>
        <v>0</v>
      </c>
    </row>
  </sheetData>
  <sheetProtection algorithmName="SHA-512" hashValue="eTzjQfrDlnoPqMgF0VT7Y8sjvfApRNhSHvn06fbg7Fz9F9OULOiUYKy9AtYZrdWygPA8MqYici4Rq+ia8LxSkw==" saltValue="QkMAIjQh0cb7id8DsNxPRw==" spinCount="100000" sheet="1" objects="1" scenarios="1"/>
  <mergeCells count="4">
    <mergeCell ref="A46:A50"/>
    <mergeCell ref="A6:A31"/>
    <mergeCell ref="A33:A36"/>
    <mergeCell ref="A38:A41"/>
  </mergeCells>
  <phoneticPr fontId="2" type="noConversion"/>
  <dataValidations count="6">
    <dataValidation type="textLength" allowBlank="1" showInputMessage="1" showErrorMessage="1" sqref="B38:C41 B46:C50 B59:B61 B33:B34 B25 C8:C31 B27:B30 C33:C36 B14:B23 B10:B11" xr:uid="{00000000-0002-0000-0200-000000000000}">
      <formula1>0</formula1>
      <formula2>30</formula2>
    </dataValidation>
    <dataValidation type="textLength" errorStyle="information" allowBlank="1" showInputMessage="1" showErrorMessage="1" sqref="B57:B58" xr:uid="{00000000-0002-0000-0200-000001000000}">
      <formula1>0</formula1>
      <formula2>60</formula2>
    </dataValidation>
    <dataValidation type="decimal" operator="greaterThanOrEqual" allowBlank="1" showInputMessage="1" showErrorMessage="1" sqref="D56:CY61 AQ54 D53 CE13:CE25 CC54:CE54 CG54:CY54 Y46:CY49 E46:S47 Y17:AK18 CJ27:CY27 D46:D50 T46:X48 R31:CY31 CG13:CY18 T9:V25 AL12 O30:P30 W19:AK25 W13:W15 W9:AK12 Y13:AK15 W17:W18 W16:AK16 AL13:AN25 R18 R9:S17 M30:M31 D31:L31 AL9:AN11 AO10 AO9:CY9 AO20:AO25 D27:P29 AO13:AP19 BS53:BV53 BM12:BU12 AP27:AR28 E30:L30 BM13:BZ25 AQ16:BJ16 AS13:BJ15 AO11:BJ11 AQ10:BJ10 AN12:BJ12 AS17:BJ18 AW27:BN27 CF27 AT28:BN28 BM10:BZ11 AQ13:AQ15 BW12:BZ12 CC10:CD25 BP27:CD28 CF28:CY28 BK10:BK25 AQ17:AQ25 CE10:CY12 R27:AO30 CA10:CA25 CF19:CY25 Q27:Q31 AP29:CY30 E49:X49 E53:T54 U53 CV53:CY53 AI53:AJ53 Y53:Z53 AD53:AE53 W53 AB53 AG53 AL53 AN53:AQ53 AS53:AV53 AX53:BA53 BC53:BG53 BI53:BL53 BN53:BQ53 BX53:BZ53 CB53:CE53 CG53:CJ53 CL53:CO53 CQ53:CT53 U54:AO54 AS54:BK54 BM54:CA54 D38:CY38 R19:S25 D9:Q25 D33:CY36 D26:CY26 AR19:BJ25 N31:P31 E50:CY50" xr:uid="{00000000-0002-0000-0200-000002000000}">
      <formula1>0</formula1>
    </dataValidation>
    <dataValidation operator="greaterThanOrEqual" allowBlank="1" showInputMessage="1" showErrorMessage="1" sqref="E48:S48 D39:CY41 D52:CY52" xr:uid="{00000000-0002-0000-0200-000003000000}"/>
    <dataValidation type="textLength" allowBlank="1" showInputMessage="1" showErrorMessage="1" sqref="B24 B9 B12" xr:uid="{2EEBD1F9-27F2-4B63-8FDE-D15A4B002BD1}">
      <formula1>0</formula1>
      <formula2>60</formula2>
    </dataValidation>
    <dataValidation type="textLength" errorStyle="information" allowBlank="1" showInputMessage="1" showErrorMessage="1" sqref="B56" xr:uid="{CFCBD8D8-659A-428B-A81C-6304B499B8D1}">
      <formula1>0</formula1>
      <formula2>70</formula2>
    </dataValidation>
  </dataValidations>
  <pageMargins left="0.75" right="0.75" top="1" bottom="1" header="0.5" footer="0.5"/>
  <pageSetup paperSize="8" orientation="landscape" verticalDpi="9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79998168889431442"/>
  </sheetPr>
  <dimension ref="A1:I41"/>
  <sheetViews>
    <sheetView zoomScaleNormal="100" workbookViewId="0">
      <selection sqref="A1:B1"/>
    </sheetView>
  </sheetViews>
  <sheetFormatPr defaultRowHeight="13.5" x14ac:dyDescent="0.3"/>
  <cols>
    <col min="1" max="1" width="14.84375" customWidth="1"/>
    <col min="2" max="2" width="19.15234375" customWidth="1"/>
    <col min="3" max="3" width="19.23046875" customWidth="1"/>
    <col min="4" max="4" width="19.61328125" customWidth="1"/>
    <col min="5" max="5" width="18" customWidth="1"/>
    <col min="6" max="6" width="12.84375" customWidth="1"/>
    <col min="7" max="7" width="25.3828125" customWidth="1"/>
  </cols>
  <sheetData>
    <row r="1" spans="1:9" ht="20" x14ac:dyDescent="0.35">
      <c r="A1" s="835" t="s">
        <v>363</v>
      </c>
      <c r="B1" s="836"/>
      <c r="C1" s="288"/>
      <c r="D1" s="288"/>
      <c r="E1" s="288"/>
      <c r="F1" s="288"/>
      <c r="G1" s="288"/>
      <c r="H1" s="288"/>
      <c r="I1" s="288"/>
    </row>
    <row r="2" spans="1:9" ht="20" x14ac:dyDescent="0.35">
      <c r="A2" s="268"/>
      <c r="C2" s="288"/>
      <c r="D2" s="288"/>
      <c r="E2" s="288"/>
      <c r="F2" s="288"/>
      <c r="G2" s="288"/>
      <c r="H2" s="288"/>
      <c r="I2" s="288"/>
    </row>
    <row r="3" spans="1:9" ht="17.5" customHeight="1" x14ac:dyDescent="0.35">
      <c r="A3" s="827" t="s">
        <v>364</v>
      </c>
      <c r="B3" s="828"/>
      <c r="C3" s="828"/>
      <c r="D3" s="617" t="s">
        <v>207</v>
      </c>
      <c r="E3" s="618" t="s">
        <v>106</v>
      </c>
      <c r="F3" s="288"/>
      <c r="G3" s="288"/>
      <c r="H3" s="288"/>
      <c r="I3" s="288"/>
    </row>
    <row r="4" spans="1:9" ht="15.5" x14ac:dyDescent="0.35">
      <c r="A4" s="619" t="s">
        <v>465</v>
      </c>
      <c r="B4" s="620"/>
      <c r="C4" s="620"/>
      <c r="D4" s="621" t="e">
        <f ca="1">Cashflow!C97</f>
        <v>#REF!</v>
      </c>
      <c r="E4" s="622" t="e">
        <f ca="1">D4/'Data entry'!B11</f>
        <v>#REF!</v>
      </c>
      <c r="F4" s="288"/>
      <c r="G4" s="288"/>
      <c r="H4" s="288"/>
      <c r="I4" s="288"/>
    </row>
    <row r="5" spans="1:9" ht="15.5" x14ac:dyDescent="0.35">
      <c r="A5" s="619" t="s">
        <v>365</v>
      </c>
      <c r="B5" s="620"/>
      <c r="C5" s="620"/>
      <c r="D5" s="621" t="e">
        <f ca="1">Cashflow!C98</f>
        <v>#REF!</v>
      </c>
      <c r="E5" s="622" t="e">
        <f ca="1">D5/'Data entry'!B11</f>
        <v>#REF!</v>
      </c>
      <c r="F5" s="288"/>
      <c r="G5" s="288"/>
      <c r="H5" s="288"/>
      <c r="I5" s="288"/>
    </row>
    <row r="6" spans="1:9" ht="15.5" x14ac:dyDescent="0.35">
      <c r="A6" s="623" t="s">
        <v>366</v>
      </c>
      <c r="B6" s="624"/>
      <c r="C6" s="624"/>
      <c r="D6" s="625">
        <f>Cashflow!C104</f>
        <v>0</v>
      </c>
      <c r="E6" s="626" t="e">
        <f>D6/'Data entry'!B11</f>
        <v>#DIV/0!</v>
      </c>
      <c r="F6" s="288"/>
      <c r="G6" s="288"/>
      <c r="H6" s="288"/>
      <c r="I6" s="288"/>
    </row>
    <row r="7" spans="1:9" ht="15.5" x14ac:dyDescent="0.35">
      <c r="A7" s="627" t="s">
        <v>367</v>
      </c>
      <c r="B7" s="628"/>
      <c r="C7" s="628"/>
      <c r="D7" s="629" t="e">
        <f ca="1">IF(OR(D5&lt;0,D5&lt;0.95*D6),"PASS",IF(AND(D5&gt;=0.95*D6,D5&lt;D6),"Marginal Pass","FAIL"))</f>
        <v>#REF!</v>
      </c>
      <c r="E7" s="288"/>
      <c r="F7" s="288"/>
      <c r="G7" s="288"/>
      <c r="H7" s="288"/>
      <c r="I7" s="288"/>
    </row>
    <row r="8" spans="1:9" ht="15.5" x14ac:dyDescent="0.35">
      <c r="A8" s="288"/>
      <c r="B8" s="288"/>
      <c r="C8" s="288"/>
      <c r="D8" s="288"/>
      <c r="E8" s="288"/>
      <c r="F8" s="288"/>
      <c r="G8" s="288"/>
      <c r="H8" s="288"/>
      <c r="I8" s="288"/>
    </row>
    <row r="9" spans="1:9" ht="20" x14ac:dyDescent="0.4">
      <c r="A9" s="262" t="s">
        <v>193</v>
      </c>
      <c r="B9" s="288"/>
      <c r="C9" s="288"/>
      <c r="D9" s="288"/>
      <c r="E9" s="288"/>
      <c r="F9" s="288"/>
      <c r="G9" s="288"/>
      <c r="H9" s="288"/>
      <c r="I9" s="288"/>
    </row>
    <row r="10" spans="1:9" ht="15.5" x14ac:dyDescent="0.35">
      <c r="A10" s="288"/>
      <c r="B10" s="288"/>
      <c r="C10" s="288"/>
      <c r="D10" s="288"/>
      <c r="E10" s="288"/>
      <c r="F10" s="288"/>
      <c r="G10" s="288"/>
      <c r="H10" s="288"/>
      <c r="I10" s="288"/>
    </row>
    <row r="11" spans="1:9" ht="15.5" x14ac:dyDescent="0.35">
      <c r="A11" s="832" t="s">
        <v>248</v>
      </c>
      <c r="B11" s="829" t="s">
        <v>40</v>
      </c>
      <c r="C11" s="830"/>
      <c r="D11" s="830"/>
      <c r="E11" s="830"/>
      <c r="F11" s="831"/>
      <c r="G11" s="288"/>
      <c r="H11" s="288"/>
      <c r="I11" s="288"/>
    </row>
    <row r="12" spans="1:9" ht="17.5" customHeight="1" x14ac:dyDescent="0.35">
      <c r="A12" s="833"/>
      <c r="B12" s="630" t="s">
        <v>4</v>
      </c>
      <c r="C12" s="631" t="s">
        <v>37</v>
      </c>
      <c r="D12" s="632" t="s">
        <v>38</v>
      </c>
      <c r="E12" s="633" t="s">
        <v>39</v>
      </c>
      <c r="F12" s="634" t="s">
        <v>7</v>
      </c>
      <c r="G12" s="288"/>
      <c r="H12" s="288"/>
      <c r="I12" s="288"/>
    </row>
    <row r="13" spans="1:9" ht="15.5" x14ac:dyDescent="0.35">
      <c r="A13" s="635" t="e">
        <f ca="1">Cashflow!C94/Cashflow!C80</f>
        <v>#REF!</v>
      </c>
      <c r="B13" s="636" t="e">
        <f>Cashflow!C84/Cashflow!C$94</f>
        <v>#DIV/0!</v>
      </c>
      <c r="C13" s="637" t="e">
        <f>Cashflow!C83/Cashflow!C$94</f>
        <v>#DIV/0!</v>
      </c>
      <c r="D13" s="638" t="e">
        <f>(Cashflow!C85+Cashflow!C86+Cashflow!C87)/Cashflow!C$94</f>
        <v>#DIV/0!</v>
      </c>
      <c r="E13" s="639" t="e">
        <f>SUM(Cashflow!C88:C93)/Cashflow!C$94</f>
        <v>#DIV/0!</v>
      </c>
      <c r="F13" s="640" t="e">
        <f>SUM(B13:E13)</f>
        <v>#DIV/0!</v>
      </c>
      <c r="G13" s="288"/>
      <c r="H13" s="288"/>
      <c r="I13" s="288"/>
    </row>
    <row r="14" spans="1:9" ht="15.5" x14ac:dyDescent="0.35">
      <c r="A14" s="288"/>
      <c r="B14" s="288"/>
      <c r="C14" s="288"/>
      <c r="D14" s="288"/>
      <c r="E14" s="288"/>
      <c r="F14" s="288"/>
      <c r="G14" s="288"/>
      <c r="H14" s="288"/>
      <c r="I14" s="288"/>
    </row>
    <row r="15" spans="1:9" ht="15.5" x14ac:dyDescent="0.35">
      <c r="A15" s="288"/>
      <c r="B15" s="288"/>
      <c r="C15" s="288"/>
      <c r="D15" s="288"/>
      <c r="E15" s="288"/>
      <c r="F15" s="288"/>
      <c r="G15" s="288"/>
      <c r="H15" s="288"/>
      <c r="I15" s="288"/>
    </row>
    <row r="16" spans="1:9" ht="15.5" x14ac:dyDescent="0.35">
      <c r="A16" s="288"/>
      <c r="B16" s="288"/>
      <c r="C16" s="288"/>
      <c r="D16" s="288"/>
      <c r="E16" s="288"/>
      <c r="F16" s="288"/>
      <c r="G16" s="288"/>
      <c r="H16" s="288"/>
      <c r="I16" s="288"/>
    </row>
    <row r="17" spans="1:9" ht="15.5" x14ac:dyDescent="0.35">
      <c r="A17" s="288"/>
      <c r="B17" s="288"/>
      <c r="C17" s="288"/>
      <c r="D17" s="288"/>
      <c r="E17" s="288" t="s">
        <v>360</v>
      </c>
      <c r="F17" s="288"/>
      <c r="G17" s="288"/>
      <c r="H17" s="288"/>
      <c r="I17" s="288"/>
    </row>
    <row r="18" spans="1:9" ht="15.5" x14ac:dyDescent="0.35">
      <c r="A18" s="288"/>
      <c r="B18" s="288"/>
      <c r="C18" s="288"/>
      <c r="D18" s="288"/>
      <c r="E18" s="288" t="s">
        <v>194</v>
      </c>
      <c r="F18" s="288"/>
      <c r="G18" s="288"/>
      <c r="H18" s="288"/>
      <c r="I18" s="288"/>
    </row>
    <row r="19" spans="1:9" ht="15.5" x14ac:dyDescent="0.35">
      <c r="A19" s="288"/>
      <c r="B19" s="288"/>
      <c r="C19" s="288"/>
      <c r="D19" s="288"/>
      <c r="E19" s="288" t="s">
        <v>105</v>
      </c>
      <c r="F19" s="288"/>
      <c r="G19" s="288"/>
      <c r="H19" s="288"/>
      <c r="I19" s="288"/>
    </row>
    <row r="20" spans="1:9" ht="64.5" customHeight="1" x14ac:dyDescent="0.35">
      <c r="A20" s="288"/>
      <c r="B20" s="288"/>
      <c r="C20" s="288"/>
      <c r="D20" s="288"/>
      <c r="E20" s="834" t="s">
        <v>361</v>
      </c>
      <c r="F20" s="834"/>
      <c r="G20" s="834"/>
      <c r="H20" s="642"/>
      <c r="I20" s="288"/>
    </row>
    <row r="21" spans="1:9" ht="15.5" x14ac:dyDescent="0.35">
      <c r="A21" s="288"/>
      <c r="B21" s="288"/>
      <c r="C21" s="288"/>
      <c r="D21" s="288"/>
      <c r="E21" s="288" t="s">
        <v>362</v>
      </c>
      <c r="F21" s="642"/>
      <c r="G21" s="642"/>
      <c r="H21" s="642"/>
      <c r="I21" s="288"/>
    </row>
    <row r="22" spans="1:9" ht="15.5" x14ac:dyDescent="0.35">
      <c r="A22" s="288"/>
      <c r="B22" s="288"/>
      <c r="C22" s="288"/>
      <c r="D22" s="288"/>
      <c r="E22" s="288"/>
      <c r="F22" s="288"/>
      <c r="G22" s="288"/>
      <c r="H22" s="288"/>
      <c r="I22" s="288"/>
    </row>
    <row r="23" spans="1:9" ht="15.5" x14ac:dyDescent="0.35">
      <c r="A23" s="288"/>
      <c r="B23" s="288"/>
      <c r="C23" s="288"/>
      <c r="D23" s="288"/>
      <c r="E23" s="288"/>
      <c r="F23" s="288"/>
      <c r="G23" s="288"/>
      <c r="H23" s="288"/>
      <c r="I23" s="288"/>
    </row>
    <row r="24" spans="1:9" ht="15.5" x14ac:dyDescent="0.35">
      <c r="A24" s="288"/>
      <c r="B24" s="288"/>
      <c r="C24" s="288"/>
      <c r="D24" s="288"/>
      <c r="E24" s="288"/>
      <c r="F24" s="288"/>
      <c r="G24" s="288"/>
      <c r="H24" s="288"/>
      <c r="I24" s="288"/>
    </row>
    <row r="25" spans="1:9" ht="15.5" x14ac:dyDescent="0.35">
      <c r="A25" s="288"/>
      <c r="B25" s="288"/>
      <c r="C25" s="288"/>
      <c r="D25" s="288"/>
      <c r="E25" s="288"/>
      <c r="F25" s="288"/>
      <c r="G25" s="288"/>
      <c r="H25" s="288"/>
      <c r="I25" s="288"/>
    </row>
    <row r="26" spans="1:9" ht="15.5" x14ac:dyDescent="0.35">
      <c r="A26" s="288"/>
      <c r="B26" s="288"/>
      <c r="C26" s="288"/>
      <c r="D26" s="643"/>
      <c r="E26" s="288"/>
      <c r="F26" s="288"/>
      <c r="G26" s="288"/>
      <c r="H26" s="288"/>
      <c r="I26" s="288"/>
    </row>
    <row r="27" spans="1:9" ht="15.5" x14ac:dyDescent="0.35">
      <c r="A27" s="288"/>
      <c r="B27" s="288"/>
      <c r="C27" s="288"/>
      <c r="D27" s="288"/>
      <c r="E27" s="288"/>
      <c r="F27" s="288"/>
      <c r="G27" s="288"/>
      <c r="H27" s="288"/>
      <c r="I27" s="288"/>
    </row>
    <row r="28" spans="1:9" ht="15.5" x14ac:dyDescent="0.35">
      <c r="A28" s="288"/>
      <c r="B28" s="288"/>
      <c r="C28" s="288"/>
      <c r="D28" s="288"/>
      <c r="E28" s="288"/>
      <c r="F28" s="288"/>
      <c r="G28" s="288"/>
      <c r="H28" s="288"/>
      <c r="I28" s="288"/>
    </row>
    <row r="29" spans="1:9" ht="15.5" x14ac:dyDescent="0.35">
      <c r="A29" s="288"/>
      <c r="B29" s="288"/>
      <c r="C29" s="288"/>
      <c r="D29" s="288"/>
      <c r="E29" s="288"/>
      <c r="F29" s="288"/>
      <c r="G29" s="288"/>
      <c r="H29" s="288"/>
      <c r="I29" s="288"/>
    </row>
    <row r="30" spans="1:9" ht="15.5" x14ac:dyDescent="0.35">
      <c r="A30" s="288"/>
      <c r="B30" s="288"/>
      <c r="C30" s="288"/>
      <c r="D30" s="288"/>
      <c r="E30" s="288"/>
      <c r="F30" s="288"/>
      <c r="G30" s="288"/>
      <c r="H30" s="288"/>
      <c r="I30" s="288"/>
    </row>
    <row r="31" spans="1:9" ht="15.5" x14ac:dyDescent="0.35">
      <c r="A31" s="288"/>
      <c r="B31" s="288"/>
      <c r="C31" s="288"/>
      <c r="D31" s="288"/>
      <c r="E31" s="288"/>
      <c r="F31" s="288"/>
      <c r="G31" s="288"/>
      <c r="H31" s="288"/>
      <c r="I31" s="288"/>
    </row>
    <row r="32" spans="1:9" ht="15.5" x14ac:dyDescent="0.35">
      <c r="A32" s="288"/>
      <c r="B32" s="288"/>
      <c r="C32" s="288"/>
      <c r="D32" s="288"/>
      <c r="E32" s="288"/>
      <c r="F32" s="288"/>
      <c r="G32" s="288"/>
      <c r="H32" s="288"/>
      <c r="I32" s="288"/>
    </row>
    <row r="33" spans="1:9" ht="12.75" customHeight="1" x14ac:dyDescent="0.35">
      <c r="A33" s="288"/>
      <c r="B33" s="288"/>
      <c r="C33" s="288"/>
      <c r="D33" s="288"/>
      <c r="E33" s="288"/>
      <c r="F33" s="288"/>
      <c r="G33" s="288"/>
      <c r="H33" s="288"/>
      <c r="I33" s="288"/>
    </row>
    <row r="34" spans="1:9" ht="15.5" x14ac:dyDescent="0.35">
      <c r="A34" s="288"/>
      <c r="B34" s="288"/>
      <c r="C34" s="288"/>
      <c r="D34" s="288"/>
      <c r="E34" s="288"/>
      <c r="F34" s="288"/>
      <c r="G34" s="288"/>
      <c r="H34" s="288"/>
      <c r="I34" s="288"/>
    </row>
    <row r="35" spans="1:9" ht="15.5" x14ac:dyDescent="0.35">
      <c r="A35" s="288"/>
      <c r="B35" s="288"/>
      <c r="C35" s="288"/>
      <c r="D35" s="288"/>
      <c r="E35" s="288"/>
      <c r="F35" s="288"/>
      <c r="G35" s="288"/>
      <c r="H35" s="288"/>
      <c r="I35" s="288"/>
    </row>
    <row r="36" spans="1:9" ht="15.5" x14ac:dyDescent="0.35">
      <c r="A36" s="288"/>
      <c r="B36" s="288"/>
      <c r="C36" s="288"/>
      <c r="D36" s="288"/>
      <c r="E36" s="288"/>
      <c r="F36" s="288"/>
      <c r="G36" s="288"/>
      <c r="H36" s="288"/>
      <c r="I36" s="288"/>
    </row>
    <row r="37" spans="1:9" ht="15.5" x14ac:dyDescent="0.35">
      <c r="A37" s="288"/>
      <c r="B37" s="288"/>
      <c r="C37" s="288"/>
      <c r="D37" s="288"/>
      <c r="E37" s="288"/>
      <c r="F37" s="288"/>
      <c r="G37" s="288"/>
      <c r="H37" s="288"/>
      <c r="I37" s="288"/>
    </row>
    <row r="38" spans="1:9" ht="15.5" x14ac:dyDescent="0.35">
      <c r="A38" s="288"/>
      <c r="B38" s="288"/>
      <c r="C38" s="288"/>
      <c r="D38" s="288"/>
      <c r="E38" s="288"/>
      <c r="F38" s="288"/>
      <c r="G38" s="288"/>
      <c r="H38" s="288"/>
      <c r="I38" s="288"/>
    </row>
    <row r="39" spans="1:9" ht="15.5" x14ac:dyDescent="0.35">
      <c r="A39" s="288"/>
      <c r="B39" s="288"/>
      <c r="C39" s="288"/>
      <c r="D39" s="288"/>
      <c r="E39" s="288"/>
      <c r="F39" s="288"/>
      <c r="G39" s="288"/>
      <c r="H39" s="288"/>
      <c r="I39" s="288"/>
    </row>
    <row r="40" spans="1:9" ht="15.5" x14ac:dyDescent="0.35">
      <c r="A40" s="288"/>
      <c r="B40" s="288"/>
      <c r="C40" s="288"/>
      <c r="D40" s="288"/>
      <c r="E40" s="288"/>
      <c r="F40" s="288"/>
      <c r="G40" s="288"/>
      <c r="H40" s="288"/>
      <c r="I40" s="288"/>
    </row>
    <row r="41" spans="1:9" s="2" customFormat="1" ht="24" customHeight="1" x14ac:dyDescent="0.3">
      <c r="A41" s="644" t="s">
        <v>464</v>
      </c>
      <c r="B41" s="645"/>
      <c r="C41" s="645"/>
      <c r="D41" s="645"/>
      <c r="E41" s="645"/>
      <c r="F41" s="645"/>
      <c r="G41" s="271"/>
      <c r="H41" s="271"/>
      <c r="I41" s="271"/>
    </row>
  </sheetData>
  <sheetProtection algorithmName="SHA-512" hashValue="4UgtetnYpzetetL/yh3Ra1lURLGOwEGHloUImJESvYWrcxJ0cXszONNqq5lV8IoVvdqCDNzUyplSHbVJA6WKkQ==" saltValue="J5uE2RmXUAQOQWufShVpGw==" spinCount="100000" sheet="1" objects="1" scenarios="1"/>
  <mergeCells count="5">
    <mergeCell ref="A3:C3"/>
    <mergeCell ref="B11:F11"/>
    <mergeCell ref="A11:A12"/>
    <mergeCell ref="E20:G20"/>
    <mergeCell ref="A1:B1"/>
  </mergeCells>
  <conditionalFormatting sqref="D7">
    <cfRule type="expression" dxfId="46" priority="59" stopIfTrue="1">
      <formula>AND(D5&gt;=0.95*D6,D5&lt;D6)</formula>
    </cfRule>
    <cfRule type="expression" dxfId="45" priority="60" stopIfTrue="1">
      <formula>D7="FAIL"</formula>
    </cfRule>
    <cfRule type="expression" dxfId="44" priority="61" stopIfTrue="1">
      <formula>D7="PASS"</formula>
    </cfRule>
  </conditionalFormatting>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67B82-CDD5-4F16-B706-96D2D6D25AF6}">
  <sheetPr codeName="Sheet5">
    <tabColor theme="3" tint="0.79998168889431442"/>
  </sheetPr>
  <dimension ref="A1:F115"/>
  <sheetViews>
    <sheetView zoomScaleNormal="100" workbookViewId="0"/>
  </sheetViews>
  <sheetFormatPr defaultRowHeight="13.5" x14ac:dyDescent="0.3"/>
  <cols>
    <col min="1" max="1" width="34.15234375" customWidth="1"/>
    <col min="2" max="2" width="106.15234375" style="1" customWidth="1"/>
  </cols>
  <sheetData>
    <row r="1" spans="1:6" s="56" customFormat="1" ht="20" x14ac:dyDescent="0.3">
      <c r="A1" s="268" t="s">
        <v>498</v>
      </c>
      <c r="B1" s="251"/>
      <c r="C1" s="271"/>
      <c r="D1" s="271"/>
      <c r="E1" s="271"/>
      <c r="F1" s="271"/>
    </row>
    <row r="2" spans="1:6" s="56" customFormat="1" ht="20.5" thickBot="1" x14ac:dyDescent="0.35">
      <c r="A2" s="268"/>
      <c r="B2" s="251"/>
      <c r="C2" s="271"/>
      <c r="D2" s="271"/>
      <c r="E2" s="271"/>
      <c r="F2" s="271"/>
    </row>
    <row r="3" spans="1:6" s="56" customFormat="1" ht="50.15" customHeight="1" thickBot="1" x14ac:dyDescent="0.35">
      <c r="A3" s="646" t="s">
        <v>466</v>
      </c>
      <c r="B3" s="253" t="s">
        <v>545</v>
      </c>
      <c r="C3" s="271"/>
      <c r="D3" s="271"/>
      <c r="E3" s="271"/>
      <c r="F3" s="271"/>
    </row>
    <row r="4" spans="1:6" s="55" customFormat="1" ht="69.5" customHeight="1" thickBot="1" x14ac:dyDescent="0.4">
      <c r="A4" s="255" t="s">
        <v>467</v>
      </c>
      <c r="B4" s="253" t="s">
        <v>491</v>
      </c>
      <c r="C4" s="288"/>
      <c r="D4" s="288"/>
      <c r="E4" s="288"/>
      <c r="F4" s="288"/>
    </row>
    <row r="5" spans="1:6" s="55" customFormat="1" ht="74.5" customHeight="1" thickBot="1" x14ac:dyDescent="0.4">
      <c r="A5" s="255" t="s">
        <v>492</v>
      </c>
      <c r="B5" s="253" t="s">
        <v>542</v>
      </c>
      <c r="C5" s="288"/>
      <c r="D5" s="288"/>
      <c r="E5" s="288"/>
      <c r="F5" s="288"/>
    </row>
    <row r="6" spans="1:6" s="55" customFormat="1" ht="118" customHeight="1" thickBot="1" x14ac:dyDescent="0.4">
      <c r="A6" s="647" t="s">
        <v>468</v>
      </c>
      <c r="B6" s="255" t="s">
        <v>495</v>
      </c>
      <c r="C6" s="288"/>
      <c r="D6" s="288"/>
      <c r="E6" s="288"/>
      <c r="F6" s="288"/>
    </row>
    <row r="7" spans="1:6" s="55" customFormat="1" ht="118" customHeight="1" thickBot="1" x14ac:dyDescent="0.4">
      <c r="A7" s="646" t="s">
        <v>469</v>
      </c>
      <c r="B7" s="255" t="s">
        <v>493</v>
      </c>
      <c r="C7" s="288"/>
      <c r="D7" s="288"/>
      <c r="E7" s="288"/>
      <c r="F7" s="288"/>
    </row>
    <row r="8" spans="1:6" s="55" customFormat="1" ht="98" customHeight="1" thickBot="1" x14ac:dyDescent="0.4">
      <c r="A8" s="255" t="s">
        <v>470</v>
      </c>
      <c r="B8" s="255" t="s">
        <v>494</v>
      </c>
      <c r="C8" s="288"/>
      <c r="D8" s="288"/>
      <c r="E8" s="288"/>
      <c r="F8" s="288"/>
    </row>
    <row r="9" spans="1:6" s="55" customFormat="1" ht="154" customHeight="1" thickBot="1" x14ac:dyDescent="0.4">
      <c r="A9" s="648" t="s">
        <v>496</v>
      </c>
      <c r="B9" s="648" t="s">
        <v>497</v>
      </c>
      <c r="C9" s="288"/>
      <c r="D9" s="288"/>
      <c r="E9" s="288"/>
      <c r="F9" s="288"/>
    </row>
    <row r="10" spans="1:6" ht="52.5" customHeight="1" thickBot="1" x14ac:dyDescent="0.4">
      <c r="A10" s="255" t="s">
        <v>471</v>
      </c>
      <c r="B10" s="255" t="s">
        <v>580</v>
      </c>
      <c r="C10" s="288"/>
      <c r="D10" s="288"/>
      <c r="E10" s="288"/>
      <c r="F10" s="288"/>
    </row>
    <row r="11" spans="1:6" ht="102.5" customHeight="1" thickBot="1" x14ac:dyDescent="0.4">
      <c r="A11" s="255" t="s">
        <v>540</v>
      </c>
      <c r="B11" s="255" t="s">
        <v>546</v>
      </c>
      <c r="C11" s="288"/>
      <c r="D11" s="288"/>
      <c r="E11" s="288"/>
      <c r="F11" s="288"/>
    </row>
    <row r="12" spans="1:6" ht="52" customHeight="1" thickBot="1" x14ac:dyDescent="0.4">
      <c r="A12" s="255" t="s">
        <v>541</v>
      </c>
      <c r="B12" s="255" t="s">
        <v>544</v>
      </c>
      <c r="C12" s="288"/>
      <c r="D12" s="288"/>
      <c r="E12" s="288"/>
      <c r="F12" s="288"/>
    </row>
    <row r="13" spans="1:6" ht="15.5" x14ac:dyDescent="0.35">
      <c r="A13" s="288"/>
      <c r="B13" s="642"/>
      <c r="C13" s="288"/>
      <c r="D13" s="288"/>
      <c r="E13" s="288"/>
      <c r="F13" s="288"/>
    </row>
    <row r="14" spans="1:6" ht="15.5" x14ac:dyDescent="0.35">
      <c r="A14" s="288"/>
      <c r="B14" s="642"/>
      <c r="C14" s="288"/>
      <c r="D14" s="288"/>
      <c r="E14" s="288"/>
      <c r="F14" s="288"/>
    </row>
    <row r="15" spans="1:6" ht="15.5" x14ac:dyDescent="0.35">
      <c r="A15" s="288"/>
      <c r="B15" s="642"/>
      <c r="C15" s="288"/>
      <c r="D15" s="288"/>
      <c r="E15" s="288"/>
      <c r="F15" s="288"/>
    </row>
    <row r="16" spans="1:6" ht="15.5" x14ac:dyDescent="0.35">
      <c r="A16" s="288"/>
      <c r="B16" s="642"/>
      <c r="C16" s="288"/>
      <c r="D16" s="288"/>
      <c r="E16" s="288"/>
      <c r="F16" s="288"/>
    </row>
    <row r="17" spans="1:6" ht="15.5" x14ac:dyDescent="0.35">
      <c r="A17" s="288"/>
      <c r="B17" s="642"/>
      <c r="C17" s="288"/>
      <c r="D17" s="288"/>
      <c r="E17" s="288"/>
      <c r="F17" s="288"/>
    </row>
    <row r="18" spans="1:6" ht="15.5" x14ac:dyDescent="0.35">
      <c r="A18" s="288"/>
      <c r="B18" s="642"/>
      <c r="C18" s="288"/>
      <c r="D18" s="288"/>
      <c r="E18" s="288"/>
      <c r="F18" s="288"/>
    </row>
    <row r="19" spans="1:6" ht="15.5" x14ac:dyDescent="0.35">
      <c r="A19" s="288"/>
      <c r="B19" s="642"/>
      <c r="C19" s="288"/>
      <c r="D19" s="288"/>
      <c r="E19" s="288"/>
      <c r="F19" s="288"/>
    </row>
    <row r="20" spans="1:6" ht="15.5" x14ac:dyDescent="0.35">
      <c r="A20" s="288"/>
      <c r="B20" s="642"/>
      <c r="C20" s="288"/>
      <c r="D20" s="288"/>
      <c r="E20" s="288"/>
      <c r="F20" s="288"/>
    </row>
    <row r="21" spans="1:6" ht="15.5" x14ac:dyDescent="0.35">
      <c r="A21" s="288"/>
      <c r="B21" s="642"/>
      <c r="C21" s="288"/>
      <c r="D21" s="288"/>
      <c r="E21" s="288"/>
      <c r="F21" s="288"/>
    </row>
    <row r="22" spans="1:6" ht="15.5" x14ac:dyDescent="0.35">
      <c r="A22" s="288"/>
      <c r="B22" s="642"/>
      <c r="C22" s="288"/>
      <c r="D22" s="288"/>
      <c r="E22" s="288"/>
      <c r="F22" s="288"/>
    </row>
    <row r="23" spans="1:6" ht="15.5" x14ac:dyDescent="0.35">
      <c r="A23" s="288"/>
      <c r="B23" s="642"/>
      <c r="C23" s="288"/>
      <c r="D23" s="288"/>
      <c r="E23" s="288"/>
      <c r="F23" s="288"/>
    </row>
    <row r="24" spans="1:6" ht="15.5" x14ac:dyDescent="0.35">
      <c r="A24" s="288"/>
      <c r="B24" s="642"/>
      <c r="C24" s="288"/>
      <c r="D24" s="288"/>
      <c r="E24" s="288"/>
      <c r="F24" s="288"/>
    </row>
    <row r="25" spans="1:6" ht="15.5" x14ac:dyDescent="0.35">
      <c r="A25" s="288"/>
      <c r="B25" s="642"/>
      <c r="C25" s="288"/>
      <c r="D25" s="288"/>
      <c r="E25" s="288"/>
      <c r="F25" s="288"/>
    </row>
    <row r="26" spans="1:6" ht="15.5" x14ac:dyDescent="0.35">
      <c r="A26" s="288"/>
      <c r="B26" s="642"/>
      <c r="C26" s="288"/>
      <c r="D26" s="288"/>
      <c r="E26" s="288"/>
      <c r="F26" s="288"/>
    </row>
    <row r="27" spans="1:6" ht="15.5" x14ac:dyDescent="0.35">
      <c r="A27" s="288"/>
      <c r="B27" s="642"/>
      <c r="C27" s="288"/>
      <c r="D27" s="288"/>
      <c r="E27" s="288"/>
      <c r="F27" s="288"/>
    </row>
    <row r="28" spans="1:6" ht="15.5" x14ac:dyDescent="0.35">
      <c r="A28" s="288"/>
      <c r="B28" s="642"/>
      <c r="C28" s="288"/>
      <c r="D28" s="288"/>
      <c r="E28" s="288"/>
      <c r="F28" s="288"/>
    </row>
    <row r="29" spans="1:6" ht="15.5" x14ac:dyDescent="0.35">
      <c r="A29" s="288"/>
      <c r="B29" s="642"/>
      <c r="C29" s="288"/>
      <c r="D29" s="288"/>
      <c r="E29" s="288"/>
      <c r="F29" s="288"/>
    </row>
    <row r="30" spans="1:6" ht="15.5" x14ac:dyDescent="0.35">
      <c r="A30" s="288"/>
      <c r="B30" s="642"/>
      <c r="C30" s="288"/>
      <c r="D30" s="288"/>
      <c r="E30" s="288"/>
      <c r="F30" s="288"/>
    </row>
    <row r="31" spans="1:6" ht="15.5" x14ac:dyDescent="0.35">
      <c r="A31" s="288"/>
      <c r="B31" s="642"/>
      <c r="C31" s="288"/>
      <c r="D31" s="288"/>
      <c r="E31" s="288"/>
      <c r="F31" s="288"/>
    </row>
    <row r="32" spans="1:6" ht="15.5" x14ac:dyDescent="0.35">
      <c r="A32" s="288"/>
      <c r="B32" s="642"/>
      <c r="C32" s="288"/>
      <c r="D32" s="288"/>
      <c r="E32" s="288"/>
      <c r="F32" s="288"/>
    </row>
    <row r="33" spans="1:6" ht="15.5" x14ac:dyDescent="0.35">
      <c r="A33" s="288"/>
      <c r="B33" s="642"/>
      <c r="C33" s="288"/>
      <c r="D33" s="288"/>
      <c r="E33" s="288"/>
      <c r="F33" s="288"/>
    </row>
    <row r="34" spans="1:6" ht="15.5" x14ac:dyDescent="0.35">
      <c r="A34" s="288"/>
      <c r="B34" s="642"/>
      <c r="C34" s="288"/>
      <c r="D34" s="288"/>
      <c r="E34" s="288"/>
      <c r="F34" s="288"/>
    </row>
    <row r="35" spans="1:6" ht="15.5" x14ac:dyDescent="0.35">
      <c r="A35" s="288"/>
      <c r="B35" s="642"/>
      <c r="C35" s="288"/>
      <c r="D35" s="288"/>
      <c r="E35" s="288"/>
      <c r="F35" s="288"/>
    </row>
    <row r="36" spans="1:6" ht="15.5" x14ac:dyDescent="0.35">
      <c r="A36" s="288"/>
      <c r="B36" s="642"/>
      <c r="C36" s="288"/>
      <c r="D36" s="288"/>
      <c r="E36" s="288"/>
      <c r="F36" s="288"/>
    </row>
    <row r="37" spans="1:6" ht="15.5" x14ac:dyDescent="0.35">
      <c r="A37" s="288"/>
      <c r="B37" s="642"/>
      <c r="C37" s="288"/>
      <c r="D37" s="288"/>
      <c r="E37" s="288"/>
      <c r="F37" s="288"/>
    </row>
    <row r="38" spans="1:6" ht="15.5" x14ac:dyDescent="0.35">
      <c r="A38" s="288"/>
      <c r="B38" s="642"/>
      <c r="C38" s="288"/>
      <c r="D38" s="288"/>
      <c r="E38" s="288"/>
      <c r="F38" s="288"/>
    </row>
    <row r="39" spans="1:6" ht="15.5" x14ac:dyDescent="0.35">
      <c r="A39" s="288"/>
      <c r="B39" s="642"/>
      <c r="C39" s="288"/>
      <c r="D39" s="288"/>
      <c r="E39" s="288"/>
      <c r="F39" s="288"/>
    </row>
    <row r="40" spans="1:6" ht="15.5" x14ac:dyDescent="0.35">
      <c r="A40" s="288"/>
      <c r="B40" s="642"/>
      <c r="C40" s="288"/>
      <c r="D40" s="288"/>
      <c r="E40" s="288"/>
      <c r="F40" s="288"/>
    </row>
    <row r="41" spans="1:6" ht="15.5" x14ac:dyDescent="0.35">
      <c r="A41" s="288"/>
      <c r="B41" s="642"/>
      <c r="C41" s="288"/>
      <c r="D41" s="288"/>
      <c r="E41" s="288"/>
      <c r="F41" s="288"/>
    </row>
    <row r="42" spans="1:6" ht="15.5" x14ac:dyDescent="0.35">
      <c r="A42" s="288"/>
      <c r="B42" s="642"/>
      <c r="C42" s="288"/>
      <c r="D42" s="288"/>
      <c r="E42" s="288"/>
      <c r="F42" s="288"/>
    </row>
    <row r="43" spans="1:6" ht="15.5" x14ac:dyDescent="0.35">
      <c r="A43" s="288"/>
      <c r="B43" s="642"/>
      <c r="C43" s="288"/>
      <c r="D43" s="288"/>
      <c r="E43" s="288"/>
      <c r="F43" s="288"/>
    </row>
    <row r="44" spans="1:6" ht="15.5" x14ac:dyDescent="0.35">
      <c r="A44" s="288"/>
      <c r="B44" s="642"/>
      <c r="C44" s="288"/>
      <c r="D44" s="288"/>
      <c r="E44" s="288"/>
      <c r="F44" s="288"/>
    </row>
    <row r="45" spans="1:6" ht="15.5" x14ac:dyDescent="0.35">
      <c r="A45" s="288"/>
      <c r="B45" s="642"/>
      <c r="C45" s="288"/>
      <c r="D45" s="288"/>
      <c r="E45" s="288"/>
      <c r="F45" s="288"/>
    </row>
    <row r="46" spans="1:6" ht="15.5" x14ac:dyDescent="0.35">
      <c r="A46" s="288"/>
      <c r="B46" s="642"/>
      <c r="C46" s="288"/>
      <c r="D46" s="288"/>
      <c r="E46" s="288"/>
      <c r="F46" s="288"/>
    </row>
    <row r="47" spans="1:6" ht="15.5" x14ac:dyDescent="0.35">
      <c r="A47" s="288"/>
      <c r="B47" s="642"/>
      <c r="C47" s="288"/>
      <c r="D47" s="288"/>
      <c r="E47" s="288"/>
      <c r="F47" s="288"/>
    </row>
    <row r="48" spans="1:6" ht="15.5" x14ac:dyDescent="0.35">
      <c r="A48" s="288"/>
      <c r="B48" s="642"/>
      <c r="C48" s="288"/>
      <c r="D48" s="288"/>
      <c r="E48" s="288"/>
      <c r="F48" s="288"/>
    </row>
    <row r="49" spans="1:6" ht="15.5" x14ac:dyDescent="0.35">
      <c r="A49" s="288"/>
      <c r="B49" s="642"/>
      <c r="C49" s="288"/>
      <c r="D49" s="288"/>
      <c r="E49" s="288"/>
      <c r="F49" s="288"/>
    </row>
    <row r="50" spans="1:6" ht="15.5" x14ac:dyDescent="0.35">
      <c r="A50" s="288"/>
      <c r="B50" s="642"/>
      <c r="C50" s="288"/>
      <c r="D50" s="288"/>
      <c r="E50" s="288"/>
      <c r="F50" s="288"/>
    </row>
    <row r="51" spans="1:6" ht="15.5" x14ac:dyDescent="0.35">
      <c r="A51" s="288"/>
      <c r="B51" s="642"/>
      <c r="C51" s="288"/>
      <c r="D51" s="288"/>
      <c r="E51" s="288"/>
      <c r="F51" s="288"/>
    </row>
    <row r="52" spans="1:6" ht="15.5" x14ac:dyDescent="0.35">
      <c r="A52" s="288"/>
      <c r="B52" s="642"/>
      <c r="C52" s="288"/>
      <c r="D52" s="288"/>
      <c r="E52" s="288"/>
      <c r="F52" s="288"/>
    </row>
    <row r="53" spans="1:6" ht="15.5" x14ac:dyDescent="0.35">
      <c r="A53" s="288"/>
      <c r="B53" s="642"/>
      <c r="C53" s="288"/>
      <c r="D53" s="288"/>
      <c r="E53" s="288"/>
      <c r="F53" s="288"/>
    </row>
    <row r="54" spans="1:6" ht="15.5" x14ac:dyDescent="0.35">
      <c r="A54" s="288"/>
      <c r="B54" s="642"/>
      <c r="C54" s="288"/>
      <c r="D54" s="288"/>
      <c r="E54" s="288"/>
      <c r="F54" s="288"/>
    </row>
    <row r="55" spans="1:6" ht="15.5" x14ac:dyDescent="0.35">
      <c r="A55" s="288"/>
      <c r="B55" s="642"/>
      <c r="C55" s="288"/>
      <c r="D55" s="288"/>
      <c r="E55" s="288"/>
      <c r="F55" s="288"/>
    </row>
    <row r="56" spans="1:6" ht="15.5" x14ac:dyDescent="0.35">
      <c r="A56" s="288"/>
      <c r="B56" s="642"/>
      <c r="C56" s="288"/>
      <c r="D56" s="288"/>
      <c r="E56" s="288"/>
      <c r="F56" s="288"/>
    </row>
    <row r="57" spans="1:6" ht="15.5" x14ac:dyDescent="0.35">
      <c r="A57" s="288"/>
      <c r="B57" s="642"/>
      <c r="C57" s="288"/>
      <c r="D57" s="288"/>
      <c r="E57" s="288"/>
      <c r="F57" s="288"/>
    </row>
    <row r="58" spans="1:6" ht="15.5" x14ac:dyDescent="0.35">
      <c r="A58" s="288"/>
      <c r="B58" s="642"/>
      <c r="C58" s="288"/>
      <c r="D58" s="288"/>
      <c r="E58" s="288"/>
      <c r="F58" s="288"/>
    </row>
    <row r="59" spans="1:6" ht="15.5" x14ac:dyDescent="0.35">
      <c r="A59" s="288"/>
      <c r="B59" s="642"/>
      <c r="C59" s="288"/>
      <c r="D59" s="288"/>
      <c r="E59" s="288"/>
      <c r="F59" s="288"/>
    </row>
    <row r="60" spans="1:6" ht="15.5" x14ac:dyDescent="0.35">
      <c r="A60" s="288"/>
      <c r="B60" s="642"/>
      <c r="C60" s="288"/>
      <c r="D60" s="288"/>
      <c r="E60" s="288"/>
      <c r="F60" s="288"/>
    </row>
    <row r="61" spans="1:6" ht="15.5" x14ac:dyDescent="0.35">
      <c r="A61" s="288"/>
      <c r="B61" s="642"/>
      <c r="C61" s="288"/>
      <c r="D61" s="288"/>
      <c r="E61" s="288"/>
      <c r="F61" s="288"/>
    </row>
    <row r="62" spans="1:6" ht="15.5" x14ac:dyDescent="0.35">
      <c r="A62" s="288"/>
      <c r="B62" s="642"/>
      <c r="C62" s="288"/>
      <c r="D62" s="288"/>
      <c r="E62" s="288"/>
      <c r="F62" s="288"/>
    </row>
    <row r="63" spans="1:6" ht="15.5" x14ac:dyDescent="0.35">
      <c r="A63" s="288"/>
      <c r="B63" s="642"/>
      <c r="C63" s="288"/>
      <c r="D63" s="288"/>
      <c r="E63" s="288"/>
      <c r="F63" s="288"/>
    </row>
    <row r="64" spans="1:6" ht="15.5" x14ac:dyDescent="0.35">
      <c r="A64" s="288"/>
      <c r="B64" s="642"/>
      <c r="C64" s="288"/>
      <c r="D64" s="288"/>
      <c r="E64" s="288"/>
      <c r="F64" s="288"/>
    </row>
    <row r="65" spans="1:6" ht="15.5" x14ac:dyDescent="0.35">
      <c r="A65" s="288"/>
      <c r="B65" s="642"/>
      <c r="C65" s="288"/>
      <c r="D65" s="288"/>
      <c r="E65" s="288"/>
      <c r="F65" s="288"/>
    </row>
    <row r="66" spans="1:6" ht="15.5" x14ac:dyDescent="0.35">
      <c r="A66" s="288"/>
      <c r="B66" s="642"/>
      <c r="C66" s="288"/>
      <c r="D66" s="288"/>
      <c r="E66" s="288"/>
      <c r="F66" s="288"/>
    </row>
    <row r="67" spans="1:6" ht="15.5" x14ac:dyDescent="0.35">
      <c r="A67" s="288"/>
      <c r="B67" s="642"/>
      <c r="C67" s="288"/>
      <c r="D67" s="288"/>
      <c r="E67" s="288"/>
      <c r="F67" s="288"/>
    </row>
    <row r="68" spans="1:6" ht="15.5" x14ac:dyDescent="0.35">
      <c r="A68" s="288"/>
      <c r="B68" s="642"/>
      <c r="C68" s="288"/>
      <c r="D68" s="288"/>
      <c r="E68" s="288"/>
      <c r="F68" s="288"/>
    </row>
    <row r="69" spans="1:6" ht="15.5" x14ac:dyDescent="0.35">
      <c r="A69" s="288"/>
      <c r="B69" s="642"/>
      <c r="C69" s="288"/>
      <c r="D69" s="288"/>
      <c r="E69" s="288"/>
      <c r="F69" s="288"/>
    </row>
    <row r="70" spans="1:6" ht="15.5" x14ac:dyDescent="0.35">
      <c r="A70" s="288"/>
      <c r="B70" s="642"/>
      <c r="C70" s="288"/>
      <c r="D70" s="288"/>
      <c r="E70" s="288"/>
      <c r="F70" s="288"/>
    </row>
    <row r="71" spans="1:6" ht="15.5" x14ac:dyDescent="0.35">
      <c r="A71" s="288"/>
      <c r="B71" s="642"/>
      <c r="C71" s="288"/>
      <c r="D71" s="288"/>
      <c r="E71" s="288"/>
      <c r="F71" s="288"/>
    </row>
    <row r="72" spans="1:6" ht="15.5" x14ac:dyDescent="0.35">
      <c r="A72" s="288"/>
      <c r="B72" s="642"/>
      <c r="C72" s="288"/>
      <c r="D72" s="288"/>
      <c r="E72" s="288"/>
      <c r="F72" s="288"/>
    </row>
    <row r="73" spans="1:6" ht="15.5" x14ac:dyDescent="0.35">
      <c r="A73" s="288"/>
      <c r="B73" s="642"/>
      <c r="C73" s="288"/>
      <c r="D73" s="288"/>
      <c r="E73" s="288"/>
      <c r="F73" s="288"/>
    </row>
    <row r="74" spans="1:6" ht="15.5" x14ac:dyDescent="0.35">
      <c r="A74" s="288"/>
      <c r="B74" s="642"/>
      <c r="C74" s="288"/>
      <c r="D74" s="288"/>
      <c r="E74" s="288"/>
      <c r="F74" s="288"/>
    </row>
    <row r="75" spans="1:6" ht="15.5" x14ac:dyDescent="0.35">
      <c r="A75" s="288"/>
      <c r="B75" s="642"/>
      <c r="C75" s="288"/>
      <c r="D75" s="288"/>
      <c r="E75" s="288"/>
      <c r="F75" s="288"/>
    </row>
    <row r="76" spans="1:6" ht="15.5" x14ac:dyDescent="0.35">
      <c r="A76" s="288"/>
      <c r="B76" s="642"/>
      <c r="C76" s="288"/>
      <c r="D76" s="288"/>
      <c r="E76" s="288"/>
      <c r="F76" s="288"/>
    </row>
    <row r="77" spans="1:6" ht="15.5" x14ac:dyDescent="0.35">
      <c r="A77" s="288"/>
      <c r="B77" s="642"/>
      <c r="C77" s="288"/>
      <c r="D77" s="288"/>
      <c r="E77" s="288"/>
      <c r="F77" s="288"/>
    </row>
    <row r="78" spans="1:6" ht="15.5" x14ac:dyDescent="0.35">
      <c r="A78" s="288"/>
      <c r="B78" s="642"/>
      <c r="C78" s="288"/>
      <c r="D78" s="288"/>
      <c r="E78" s="288"/>
      <c r="F78" s="288"/>
    </row>
    <row r="79" spans="1:6" ht="15.5" x14ac:dyDescent="0.35">
      <c r="A79" s="288"/>
      <c r="B79" s="642"/>
      <c r="C79" s="288"/>
      <c r="D79" s="288"/>
      <c r="E79" s="288"/>
      <c r="F79" s="288"/>
    </row>
    <row r="80" spans="1:6" ht="15.5" x14ac:dyDescent="0.35">
      <c r="A80" s="288"/>
      <c r="B80" s="642"/>
      <c r="C80" s="288"/>
      <c r="D80" s="288"/>
      <c r="E80" s="288"/>
      <c r="F80" s="288"/>
    </row>
    <row r="81" spans="1:6" ht="15.5" x14ac:dyDescent="0.35">
      <c r="A81" s="288"/>
      <c r="B81" s="642"/>
      <c r="C81" s="288"/>
      <c r="D81" s="288"/>
      <c r="E81" s="288"/>
      <c r="F81" s="288"/>
    </row>
    <row r="82" spans="1:6" ht="15.5" x14ac:dyDescent="0.35">
      <c r="A82" s="288"/>
      <c r="B82" s="642"/>
      <c r="C82" s="288"/>
      <c r="D82" s="288"/>
      <c r="E82" s="288"/>
      <c r="F82" s="288"/>
    </row>
    <row r="83" spans="1:6" ht="15.5" x14ac:dyDescent="0.35">
      <c r="A83" s="288"/>
      <c r="B83" s="642"/>
      <c r="C83" s="288"/>
      <c r="D83" s="288"/>
      <c r="E83" s="288"/>
      <c r="F83" s="288"/>
    </row>
    <row r="84" spans="1:6" ht="15.5" x14ac:dyDescent="0.35">
      <c r="A84" s="288"/>
      <c r="B84" s="642"/>
      <c r="C84" s="288"/>
      <c r="D84" s="288"/>
      <c r="E84" s="288"/>
      <c r="F84" s="288"/>
    </row>
    <row r="85" spans="1:6" ht="15.5" x14ac:dyDescent="0.35">
      <c r="A85" s="288"/>
      <c r="B85" s="642"/>
      <c r="C85" s="288"/>
      <c r="D85" s="288"/>
      <c r="E85" s="288"/>
      <c r="F85" s="288"/>
    </row>
    <row r="86" spans="1:6" ht="15.5" x14ac:dyDescent="0.35">
      <c r="A86" s="288"/>
      <c r="B86" s="642"/>
      <c r="C86" s="288"/>
      <c r="D86" s="288"/>
      <c r="E86" s="288"/>
      <c r="F86" s="288"/>
    </row>
    <row r="87" spans="1:6" ht="15.5" x14ac:dyDescent="0.35">
      <c r="A87" s="288"/>
      <c r="B87" s="642"/>
      <c r="C87" s="288"/>
      <c r="D87" s="288"/>
      <c r="E87" s="288"/>
      <c r="F87" s="288"/>
    </row>
    <row r="88" spans="1:6" ht="15.5" x14ac:dyDescent="0.35">
      <c r="A88" s="288"/>
      <c r="B88" s="642"/>
      <c r="C88" s="288"/>
      <c r="D88" s="288"/>
      <c r="E88" s="288"/>
      <c r="F88" s="288"/>
    </row>
    <row r="89" spans="1:6" ht="15.5" x14ac:dyDescent="0.35">
      <c r="A89" s="288"/>
      <c r="B89" s="642"/>
      <c r="C89" s="288"/>
      <c r="D89" s="288"/>
      <c r="E89" s="288"/>
      <c r="F89" s="288"/>
    </row>
    <row r="90" spans="1:6" ht="15.5" x14ac:dyDescent="0.35">
      <c r="A90" s="288"/>
      <c r="B90" s="642"/>
      <c r="C90" s="288"/>
      <c r="D90" s="288"/>
      <c r="E90" s="288"/>
      <c r="F90" s="288"/>
    </row>
    <row r="91" spans="1:6" ht="15.5" x14ac:dyDescent="0.35">
      <c r="A91" s="288"/>
      <c r="B91" s="642"/>
      <c r="C91" s="288"/>
      <c r="D91" s="288"/>
      <c r="E91" s="288"/>
      <c r="F91" s="288"/>
    </row>
    <row r="92" spans="1:6" ht="15.5" x14ac:dyDescent="0.35">
      <c r="A92" s="288"/>
      <c r="B92" s="642"/>
      <c r="C92" s="288"/>
      <c r="D92" s="288"/>
      <c r="E92" s="288"/>
      <c r="F92" s="288"/>
    </row>
    <row r="93" spans="1:6" ht="15.5" x14ac:dyDescent="0.35">
      <c r="A93" s="288"/>
      <c r="B93" s="642"/>
      <c r="C93" s="288"/>
      <c r="D93" s="288"/>
      <c r="E93" s="288"/>
      <c r="F93" s="288"/>
    </row>
    <row r="94" spans="1:6" ht="15.5" x14ac:dyDescent="0.35">
      <c r="A94" s="288"/>
      <c r="B94" s="642"/>
      <c r="C94" s="288"/>
      <c r="D94" s="288"/>
      <c r="E94" s="288"/>
      <c r="F94" s="288"/>
    </row>
    <row r="95" spans="1:6" ht="15.5" x14ac:dyDescent="0.35">
      <c r="A95" s="288"/>
      <c r="B95" s="642"/>
      <c r="C95" s="288"/>
      <c r="D95" s="288"/>
      <c r="E95" s="288"/>
      <c r="F95" s="288"/>
    </row>
    <row r="96" spans="1:6" ht="15.5" x14ac:dyDescent="0.35">
      <c r="A96" s="288"/>
      <c r="B96" s="642"/>
      <c r="C96" s="288"/>
      <c r="D96" s="288"/>
      <c r="E96" s="288"/>
      <c r="F96" s="288"/>
    </row>
    <row r="97" spans="1:6" ht="15.5" x14ac:dyDescent="0.35">
      <c r="A97" s="288"/>
      <c r="B97" s="642"/>
      <c r="C97" s="288"/>
      <c r="D97" s="288"/>
      <c r="E97" s="288"/>
      <c r="F97" s="288"/>
    </row>
    <row r="98" spans="1:6" ht="15.5" x14ac:dyDescent="0.35">
      <c r="A98" s="288"/>
      <c r="B98" s="642"/>
      <c r="C98" s="288"/>
      <c r="D98" s="288"/>
      <c r="E98" s="288"/>
      <c r="F98" s="288"/>
    </row>
    <row r="99" spans="1:6" ht="15.5" x14ac:dyDescent="0.35">
      <c r="A99" s="288"/>
      <c r="B99" s="642"/>
      <c r="C99" s="288"/>
      <c r="D99" s="288"/>
      <c r="E99" s="288"/>
      <c r="F99" s="288"/>
    </row>
    <row r="100" spans="1:6" ht="15.5" x14ac:dyDescent="0.35">
      <c r="A100" s="288"/>
      <c r="B100" s="642"/>
      <c r="C100" s="288"/>
      <c r="D100" s="288"/>
      <c r="E100" s="288"/>
      <c r="F100" s="288"/>
    </row>
    <row r="101" spans="1:6" ht="15.5" x14ac:dyDescent="0.35">
      <c r="A101" s="288"/>
      <c r="B101" s="642"/>
      <c r="C101" s="288"/>
      <c r="D101" s="288"/>
      <c r="E101" s="288"/>
      <c r="F101" s="288"/>
    </row>
    <row r="102" spans="1:6" ht="15.5" x14ac:dyDescent="0.35">
      <c r="A102" s="288"/>
      <c r="B102" s="642"/>
      <c r="C102" s="288"/>
      <c r="D102" s="288"/>
      <c r="E102" s="288"/>
      <c r="F102" s="288"/>
    </row>
    <row r="103" spans="1:6" ht="15.5" x14ac:dyDescent="0.35">
      <c r="A103" s="288"/>
      <c r="B103" s="642"/>
      <c r="C103" s="288"/>
      <c r="D103" s="288"/>
      <c r="E103" s="288"/>
      <c r="F103" s="288"/>
    </row>
    <row r="104" spans="1:6" ht="15.5" x14ac:dyDescent="0.35">
      <c r="A104" s="288"/>
      <c r="B104" s="642"/>
      <c r="C104" s="288"/>
      <c r="D104" s="288"/>
      <c r="E104" s="288"/>
      <c r="F104" s="288"/>
    </row>
    <row r="105" spans="1:6" ht="15.5" x14ac:dyDescent="0.35">
      <c r="A105" s="288"/>
      <c r="B105" s="642"/>
      <c r="C105" s="288"/>
      <c r="D105" s="288"/>
      <c r="E105" s="288"/>
      <c r="F105" s="288"/>
    </row>
    <row r="106" spans="1:6" ht="15.5" x14ac:dyDescent="0.35">
      <c r="A106" s="288"/>
      <c r="B106" s="642"/>
      <c r="C106" s="288"/>
      <c r="D106" s="288"/>
      <c r="E106" s="288"/>
      <c r="F106" s="288"/>
    </row>
    <row r="107" spans="1:6" ht="15.5" x14ac:dyDescent="0.35">
      <c r="A107" s="288"/>
      <c r="B107" s="642"/>
      <c r="C107" s="288"/>
      <c r="D107" s="288"/>
      <c r="E107" s="288"/>
      <c r="F107" s="288"/>
    </row>
    <row r="108" spans="1:6" ht="15.5" x14ac:dyDescent="0.35">
      <c r="A108" s="288"/>
      <c r="B108" s="642"/>
      <c r="C108" s="288"/>
      <c r="D108" s="288"/>
      <c r="E108" s="288"/>
      <c r="F108" s="288"/>
    </row>
    <row r="109" spans="1:6" ht="15.5" x14ac:dyDescent="0.35">
      <c r="A109" s="288"/>
      <c r="B109" s="642"/>
      <c r="C109" s="288"/>
      <c r="D109" s="288"/>
      <c r="E109" s="288"/>
      <c r="F109" s="288"/>
    </row>
    <row r="110" spans="1:6" ht="15.5" x14ac:dyDescent="0.35">
      <c r="A110" s="288"/>
      <c r="B110" s="642"/>
      <c r="C110" s="288"/>
      <c r="D110" s="288"/>
      <c r="E110" s="288"/>
      <c r="F110" s="288"/>
    </row>
    <row r="111" spans="1:6" ht="15.5" x14ac:dyDescent="0.35">
      <c r="A111" s="288"/>
      <c r="B111" s="642"/>
      <c r="C111" s="288"/>
      <c r="D111" s="288"/>
      <c r="E111" s="288"/>
      <c r="F111" s="288"/>
    </row>
    <row r="112" spans="1:6" ht="15.5" x14ac:dyDescent="0.35">
      <c r="A112" s="288"/>
      <c r="B112" s="642"/>
      <c r="C112" s="288"/>
      <c r="D112" s="288"/>
      <c r="E112" s="288"/>
      <c r="F112" s="288"/>
    </row>
    <row r="113" spans="1:6" ht="15.5" x14ac:dyDescent="0.35">
      <c r="A113" s="288"/>
      <c r="B113" s="642"/>
      <c r="C113" s="288"/>
      <c r="D113" s="288"/>
      <c r="E113" s="288"/>
      <c r="F113" s="288"/>
    </row>
    <row r="114" spans="1:6" ht="15.5" x14ac:dyDescent="0.35">
      <c r="A114" s="288"/>
      <c r="B114" s="642"/>
      <c r="C114" s="288"/>
      <c r="D114" s="288"/>
      <c r="E114" s="288"/>
      <c r="F114" s="288"/>
    </row>
    <row r="115" spans="1:6" ht="15.5" x14ac:dyDescent="0.35">
      <c r="A115" s="288"/>
      <c r="B115" s="642"/>
      <c r="C115" s="288"/>
      <c r="D115" s="288"/>
      <c r="E115" s="288"/>
      <c r="F115" s="288"/>
    </row>
  </sheetData>
  <sheetProtection algorithmName="SHA-512" hashValue="A632fBejq08bwwI1UCkVlYZ7x8LJGwYufEZDVIamxDyjHIiIElb3c8JbvijBsxEBChZ2gkTLrygvMwATqnY1GQ==" saltValue="KS0n9969674tc1G8MxdofA=="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79998168889431442"/>
  </sheetPr>
  <dimension ref="A1:L36"/>
  <sheetViews>
    <sheetView workbookViewId="0"/>
  </sheetViews>
  <sheetFormatPr defaultColWidth="9" defaultRowHeight="15.5" x14ac:dyDescent="0.35"/>
  <cols>
    <col min="1" max="1" width="32.61328125" style="288" customWidth="1"/>
    <col min="2" max="2" width="29.4609375" style="288" customWidth="1"/>
    <col min="3" max="3" width="22.4609375" style="288" customWidth="1"/>
    <col min="4" max="4" width="11.15234375" style="288" customWidth="1"/>
    <col min="5" max="5" width="12.23046875" style="288" customWidth="1"/>
    <col min="6" max="6" width="24.15234375" style="649" customWidth="1"/>
    <col min="7" max="7" width="9.23046875" style="459" customWidth="1"/>
    <col min="8" max="8" width="17" style="650" customWidth="1"/>
    <col min="9" max="9" width="6.3828125" style="288" customWidth="1"/>
    <col min="10" max="10" width="28.61328125" style="288" customWidth="1"/>
    <col min="11" max="11" width="15.84375" style="288" customWidth="1"/>
    <col min="12" max="12" width="41.3828125" style="251" customWidth="1"/>
    <col min="13" max="16384" width="9" style="288"/>
  </cols>
  <sheetData>
    <row r="1" spans="1:12" ht="20" x14ac:dyDescent="0.4">
      <c r="A1" s="262" t="s">
        <v>344</v>
      </c>
      <c r="B1" s="641"/>
      <c r="C1" s="641"/>
      <c r="D1" s="641"/>
      <c r="E1" s="641"/>
      <c r="F1" s="700"/>
      <c r="J1" s="262" t="s">
        <v>132</v>
      </c>
    </row>
    <row r="2" spans="1:12" ht="20" x14ac:dyDescent="0.4">
      <c r="A2" s="262"/>
      <c r="B2" s="641"/>
      <c r="C2" s="641"/>
      <c r="D2" s="641"/>
      <c r="E2" s="641"/>
      <c r="F2" s="700"/>
      <c r="J2" s="262"/>
    </row>
    <row r="3" spans="1:12" ht="62" x14ac:dyDescent="0.35">
      <c r="A3" s="282"/>
      <c r="B3" s="285" t="s">
        <v>329</v>
      </c>
      <c r="C3" s="285" t="s">
        <v>330</v>
      </c>
      <c r="D3" s="285" t="s">
        <v>196</v>
      </c>
      <c r="E3" s="278" t="s">
        <v>180</v>
      </c>
      <c r="F3" s="651" t="s">
        <v>316</v>
      </c>
      <c r="G3" s="652" t="s">
        <v>74</v>
      </c>
      <c r="H3" s="653" t="s">
        <v>331</v>
      </c>
      <c r="J3" s="654" t="s">
        <v>181</v>
      </c>
      <c r="K3" s="277" t="s">
        <v>582</v>
      </c>
      <c r="L3" s="277" t="s">
        <v>133</v>
      </c>
    </row>
    <row r="4" spans="1:12" ht="30.75" customHeight="1" x14ac:dyDescent="0.35">
      <c r="A4" s="282" t="s">
        <v>322</v>
      </c>
      <c r="B4" s="282"/>
      <c r="C4" s="282"/>
      <c r="D4" s="282"/>
      <c r="E4" s="282"/>
      <c r="F4" s="655"/>
      <c r="G4" s="286"/>
      <c r="H4" s="656" t="s">
        <v>315</v>
      </c>
      <c r="J4" s="657" t="s">
        <v>328</v>
      </c>
      <c r="K4" s="658">
        <v>26.85</v>
      </c>
      <c r="L4" s="659" t="s">
        <v>482</v>
      </c>
    </row>
    <row r="5" spans="1:12" ht="16" customHeight="1" x14ac:dyDescent="0.35">
      <c r="A5" s="279" t="s">
        <v>459</v>
      </c>
      <c r="B5" s="279">
        <v>38</v>
      </c>
      <c r="C5" s="280">
        <v>24</v>
      </c>
      <c r="D5" s="280">
        <v>2</v>
      </c>
      <c r="E5" s="279">
        <v>449</v>
      </c>
      <c r="F5" s="660">
        <v>36.75</v>
      </c>
      <c r="G5" s="661">
        <f>E5*F5</f>
        <v>16500.75</v>
      </c>
      <c r="H5" s="662">
        <f>0.005*G5</f>
        <v>82.503749999999997</v>
      </c>
      <c r="J5" s="273"/>
      <c r="K5" s="663"/>
    </row>
    <row r="6" spans="1:12" ht="15" customHeight="1" x14ac:dyDescent="0.35">
      <c r="A6" s="279" t="s">
        <v>460</v>
      </c>
      <c r="B6" s="279">
        <v>76</v>
      </c>
      <c r="C6" s="280">
        <v>8</v>
      </c>
      <c r="D6" s="280">
        <v>2</v>
      </c>
      <c r="E6" s="279">
        <v>310</v>
      </c>
      <c r="F6" s="660">
        <v>36.75</v>
      </c>
      <c r="G6" s="661">
        <f>E6*F6</f>
        <v>11392.5</v>
      </c>
      <c r="H6" s="662">
        <f>0.005*G6</f>
        <v>56.962499999999999</v>
      </c>
    </row>
    <row r="7" spans="1:12" ht="15" customHeight="1" x14ac:dyDescent="0.35">
      <c r="A7" s="279" t="s">
        <v>461</v>
      </c>
      <c r="B7" s="279">
        <v>60</v>
      </c>
      <c r="C7" s="280">
        <v>16</v>
      </c>
      <c r="D7" s="280">
        <v>2</v>
      </c>
      <c r="E7" s="279">
        <v>482</v>
      </c>
      <c r="F7" s="660">
        <v>36.75</v>
      </c>
      <c r="G7" s="661">
        <f>E7*F7</f>
        <v>17713.5</v>
      </c>
      <c r="H7" s="662">
        <f>0.005*G7</f>
        <v>88.567499999999995</v>
      </c>
    </row>
    <row r="8" spans="1:12" ht="15" customHeight="1" x14ac:dyDescent="0.35">
      <c r="A8" s="279"/>
      <c r="B8" s="279"/>
      <c r="C8" s="279"/>
      <c r="D8" s="279"/>
      <c r="E8" s="279"/>
      <c r="F8" s="660"/>
      <c r="G8" s="661"/>
      <c r="H8" s="274"/>
      <c r="J8" s="664" t="s">
        <v>581</v>
      </c>
      <c r="K8" s="665"/>
      <c r="L8" s="666"/>
    </row>
    <row r="9" spans="1:12" ht="15" customHeight="1" x14ac:dyDescent="0.35">
      <c r="A9" s="282" t="s">
        <v>321</v>
      </c>
      <c r="B9" s="282"/>
      <c r="C9" s="282"/>
      <c r="D9" s="282"/>
      <c r="E9" s="282"/>
      <c r="F9" s="667"/>
      <c r="G9" s="286"/>
      <c r="H9" s="668"/>
      <c r="J9" s="669" t="s">
        <v>462</v>
      </c>
      <c r="K9" s="670"/>
      <c r="L9" s="671"/>
    </row>
    <row r="10" spans="1:12" ht="15" customHeight="1" x14ac:dyDescent="0.35">
      <c r="A10" s="281" t="s">
        <v>129</v>
      </c>
      <c r="B10" s="672" t="s">
        <v>102</v>
      </c>
      <c r="C10" s="281">
        <v>24</v>
      </c>
      <c r="D10" s="281">
        <v>2</v>
      </c>
      <c r="E10" s="281">
        <v>84</v>
      </c>
      <c r="F10" s="660">
        <v>36.75</v>
      </c>
      <c r="G10" s="673">
        <f>E10*F10</f>
        <v>3087</v>
      </c>
      <c r="H10" s="274"/>
      <c r="J10" s="674" t="s">
        <v>182</v>
      </c>
      <c r="K10" s="675"/>
      <c r="L10" s="676"/>
    </row>
    <row r="11" spans="1:12" ht="15" customHeight="1" x14ac:dyDescent="0.35">
      <c r="A11" s="276" t="s">
        <v>126</v>
      </c>
      <c r="B11" s="677" t="s">
        <v>128</v>
      </c>
      <c r="C11" s="276"/>
      <c r="D11" s="276"/>
      <c r="E11" s="276"/>
      <c r="F11" s="660">
        <v>36.75</v>
      </c>
      <c r="G11" s="678"/>
      <c r="H11" s="274"/>
      <c r="J11" s="679" t="s">
        <v>185</v>
      </c>
      <c r="K11" s="680"/>
      <c r="L11" s="681"/>
    </row>
    <row r="12" spans="1:12" ht="15" customHeight="1" x14ac:dyDescent="0.35">
      <c r="A12" s="682" t="s">
        <v>127</v>
      </c>
      <c r="B12" s="683">
        <v>94</v>
      </c>
      <c r="C12" s="682"/>
      <c r="D12" s="682"/>
      <c r="E12" s="682"/>
      <c r="F12" s="660">
        <v>36.75</v>
      </c>
      <c r="G12" s="684"/>
      <c r="H12" s="274"/>
    </row>
    <row r="13" spans="1:12" ht="15" customHeight="1" x14ac:dyDescent="0.35">
      <c r="A13" s="276" t="s">
        <v>323</v>
      </c>
      <c r="B13" s="677" t="s">
        <v>212</v>
      </c>
      <c r="C13" s="276">
        <v>8</v>
      </c>
      <c r="D13" s="276">
        <v>2</v>
      </c>
      <c r="E13" s="276">
        <v>28</v>
      </c>
      <c r="F13" s="660">
        <v>36.75</v>
      </c>
      <c r="G13" s="673">
        <f>E13*F13</f>
        <v>1029</v>
      </c>
      <c r="H13" s="274"/>
    </row>
    <row r="14" spans="1:12" ht="15" customHeight="1" x14ac:dyDescent="0.35">
      <c r="A14" s="281" t="s">
        <v>130</v>
      </c>
      <c r="B14" s="672" t="s">
        <v>103</v>
      </c>
      <c r="C14" s="685">
        <v>16</v>
      </c>
      <c r="D14" s="685">
        <v>2</v>
      </c>
      <c r="E14" s="281">
        <v>56</v>
      </c>
      <c r="F14" s="660">
        <v>36.75</v>
      </c>
      <c r="G14" s="673">
        <f t="shared" ref="G14:G29" si="0">E14*F14</f>
        <v>2058</v>
      </c>
      <c r="H14" s="274"/>
    </row>
    <row r="15" spans="1:12" ht="15" customHeight="1" x14ac:dyDescent="0.35">
      <c r="A15" s="682" t="s">
        <v>131</v>
      </c>
      <c r="B15" s="683" t="s">
        <v>192</v>
      </c>
      <c r="C15" s="682"/>
      <c r="D15" s="682"/>
      <c r="E15" s="682"/>
      <c r="F15" s="660">
        <v>36.75</v>
      </c>
      <c r="G15" s="684"/>
      <c r="H15" s="274"/>
    </row>
    <row r="16" spans="1:12" ht="29.25" customHeight="1" x14ac:dyDescent="0.35">
      <c r="A16" s="282" t="s">
        <v>320</v>
      </c>
      <c r="B16" s="270"/>
      <c r="C16" s="270"/>
      <c r="D16" s="270"/>
      <c r="E16" s="270"/>
      <c r="F16" s="655"/>
      <c r="G16" s="283"/>
    </row>
    <row r="17" spans="1:8" ht="15" customHeight="1" x14ac:dyDescent="0.35">
      <c r="A17" s="279" t="s">
        <v>78</v>
      </c>
      <c r="B17" s="279">
        <v>20</v>
      </c>
      <c r="C17" s="279">
        <v>4</v>
      </c>
      <c r="D17" s="279">
        <v>1.5</v>
      </c>
      <c r="E17" s="279">
        <v>3</v>
      </c>
      <c r="F17" s="660">
        <v>30.04</v>
      </c>
      <c r="G17" s="661">
        <f>E17*F17</f>
        <v>90.12</v>
      </c>
    </row>
    <row r="18" spans="1:8" ht="15" customHeight="1" x14ac:dyDescent="0.35">
      <c r="A18" s="279"/>
      <c r="B18" s="279">
        <v>25</v>
      </c>
      <c r="C18" s="279">
        <v>4</v>
      </c>
      <c r="D18" s="279">
        <v>1.5</v>
      </c>
      <c r="E18" s="279">
        <v>14</v>
      </c>
      <c r="F18" s="660">
        <v>30.04</v>
      </c>
      <c r="G18" s="661">
        <f t="shared" si="0"/>
        <v>420.56</v>
      </c>
      <c r="H18" s="274"/>
    </row>
    <row r="19" spans="1:8" ht="15" customHeight="1" x14ac:dyDescent="0.35">
      <c r="A19" s="279"/>
      <c r="B19" s="279">
        <v>30</v>
      </c>
      <c r="C19" s="279">
        <v>4</v>
      </c>
      <c r="D19" s="279">
        <v>1.5</v>
      </c>
      <c r="E19" s="279">
        <v>14</v>
      </c>
      <c r="F19" s="660">
        <v>30.04</v>
      </c>
      <c r="G19" s="661">
        <f t="shared" si="0"/>
        <v>420.56</v>
      </c>
      <c r="H19" s="274"/>
    </row>
    <row r="20" spans="1:8" ht="15" customHeight="1" x14ac:dyDescent="0.35">
      <c r="A20" s="279"/>
      <c r="B20" s="279">
        <v>35</v>
      </c>
      <c r="C20" s="279">
        <v>4</v>
      </c>
      <c r="D20" s="279">
        <v>1.5</v>
      </c>
      <c r="E20" s="279">
        <v>14</v>
      </c>
      <c r="F20" s="660">
        <v>30.04</v>
      </c>
      <c r="G20" s="661">
        <f t="shared" si="0"/>
        <v>420.56</v>
      </c>
      <c r="H20" s="274"/>
    </row>
    <row r="21" spans="1:8" ht="15" customHeight="1" x14ac:dyDescent="0.35">
      <c r="A21" s="279"/>
      <c r="B21" s="279">
        <v>40</v>
      </c>
      <c r="C21" s="279">
        <v>4</v>
      </c>
      <c r="D21" s="279">
        <v>1.5</v>
      </c>
      <c r="E21" s="279">
        <v>14</v>
      </c>
      <c r="F21" s="660">
        <v>30.04</v>
      </c>
      <c r="G21" s="661">
        <f t="shared" si="0"/>
        <v>420.56</v>
      </c>
      <c r="H21" s="274"/>
    </row>
    <row r="22" spans="1:8" ht="15" customHeight="1" x14ac:dyDescent="0.35">
      <c r="A22" s="279"/>
      <c r="B22" s="279">
        <v>45</v>
      </c>
      <c r="C22" s="279">
        <v>4</v>
      </c>
      <c r="D22" s="279">
        <v>1.5</v>
      </c>
      <c r="E22" s="279">
        <v>14</v>
      </c>
      <c r="F22" s="660">
        <v>30.04</v>
      </c>
      <c r="G22" s="661">
        <f t="shared" si="0"/>
        <v>420.56</v>
      </c>
      <c r="H22" s="274"/>
    </row>
    <row r="23" spans="1:8" ht="15" customHeight="1" x14ac:dyDescent="0.35">
      <c r="A23" s="279"/>
      <c r="B23" s="279">
        <v>50</v>
      </c>
      <c r="C23" s="279">
        <v>4</v>
      </c>
      <c r="D23" s="279">
        <v>1.5</v>
      </c>
      <c r="E23" s="279">
        <v>11</v>
      </c>
      <c r="F23" s="660">
        <v>30.04</v>
      </c>
      <c r="G23" s="661">
        <f t="shared" si="0"/>
        <v>330.44</v>
      </c>
      <c r="H23" s="274"/>
    </row>
    <row r="24" spans="1:8" ht="15" customHeight="1" x14ac:dyDescent="0.35">
      <c r="A24" s="279"/>
      <c r="B24" s="279">
        <v>55</v>
      </c>
      <c r="C24" s="279">
        <v>4</v>
      </c>
      <c r="D24" s="279">
        <v>1.5</v>
      </c>
      <c r="E24" s="279">
        <v>9</v>
      </c>
      <c r="F24" s="660">
        <v>30.04</v>
      </c>
      <c r="G24" s="661">
        <f t="shared" si="0"/>
        <v>270.36</v>
      </c>
      <c r="H24" s="274"/>
    </row>
    <row r="25" spans="1:8" ht="15" customHeight="1" x14ac:dyDescent="0.35">
      <c r="A25" s="279"/>
      <c r="B25" s="279">
        <v>60</v>
      </c>
      <c r="C25" s="279">
        <v>4</v>
      </c>
      <c r="D25" s="279">
        <v>1.5</v>
      </c>
      <c r="E25" s="279">
        <v>7</v>
      </c>
      <c r="F25" s="660">
        <v>30.04</v>
      </c>
      <c r="G25" s="661">
        <f t="shared" si="0"/>
        <v>210.28</v>
      </c>
      <c r="H25" s="274"/>
    </row>
    <row r="26" spans="1:8" ht="15" customHeight="1" x14ac:dyDescent="0.35">
      <c r="A26" s="279"/>
      <c r="B26" s="279">
        <v>65</v>
      </c>
      <c r="C26" s="279">
        <v>4</v>
      </c>
      <c r="D26" s="279">
        <v>1.5</v>
      </c>
      <c r="E26" s="279">
        <v>6</v>
      </c>
      <c r="F26" s="660">
        <v>30.04</v>
      </c>
      <c r="G26" s="661">
        <f t="shared" si="0"/>
        <v>180.24</v>
      </c>
      <c r="H26" s="274"/>
    </row>
    <row r="27" spans="1:8" ht="15" customHeight="1" x14ac:dyDescent="0.35">
      <c r="A27" s="279"/>
      <c r="B27" s="279">
        <v>70</v>
      </c>
      <c r="C27" s="279">
        <v>4</v>
      </c>
      <c r="D27" s="279">
        <v>1.5</v>
      </c>
      <c r="E27" s="279">
        <v>5</v>
      </c>
      <c r="F27" s="660">
        <v>30.04</v>
      </c>
      <c r="G27" s="661">
        <f t="shared" si="0"/>
        <v>150.19999999999999</v>
      </c>
      <c r="H27" s="274"/>
    </row>
    <row r="28" spans="1:8" ht="15" customHeight="1" x14ac:dyDescent="0.35">
      <c r="A28" s="279"/>
      <c r="B28" s="279">
        <v>75</v>
      </c>
      <c r="C28" s="279">
        <v>4</v>
      </c>
      <c r="D28" s="279">
        <v>1.5</v>
      </c>
      <c r="E28" s="279">
        <v>4</v>
      </c>
      <c r="F28" s="660">
        <v>30.04</v>
      </c>
      <c r="G28" s="661">
        <f t="shared" si="0"/>
        <v>120.16</v>
      </c>
      <c r="H28" s="274"/>
    </row>
    <row r="29" spans="1:8" ht="15" customHeight="1" x14ac:dyDescent="0.35">
      <c r="A29" s="279"/>
      <c r="B29" s="279">
        <v>80</v>
      </c>
      <c r="C29" s="279">
        <v>4</v>
      </c>
      <c r="D29" s="279">
        <v>1.5</v>
      </c>
      <c r="E29" s="279">
        <v>3</v>
      </c>
      <c r="F29" s="660">
        <v>30.04</v>
      </c>
      <c r="G29" s="661">
        <f t="shared" si="0"/>
        <v>90.12</v>
      </c>
      <c r="H29" s="274"/>
    </row>
    <row r="30" spans="1:8" ht="15" customHeight="1" x14ac:dyDescent="0.35">
      <c r="A30" s="279"/>
      <c r="B30" s="686" t="s">
        <v>327</v>
      </c>
      <c r="C30" s="279">
        <v>4</v>
      </c>
      <c r="D30" s="271"/>
      <c r="E30" s="271"/>
      <c r="F30" s="687"/>
      <c r="G30" s="272"/>
      <c r="H30" s="274"/>
    </row>
    <row r="31" spans="1:8" ht="15" customHeight="1" x14ac:dyDescent="0.35">
      <c r="A31" s="688"/>
      <c r="B31" s="689"/>
    </row>
    <row r="32" spans="1:8" ht="15" customHeight="1" x14ac:dyDescent="0.35">
      <c r="A32" s="690" t="s">
        <v>123</v>
      </c>
      <c r="B32" s="691" t="s">
        <v>171</v>
      </c>
      <c r="C32" s="691" t="s">
        <v>172</v>
      </c>
      <c r="D32" s="641"/>
    </row>
    <row r="33" spans="1:4" ht="20.25" customHeight="1" x14ac:dyDescent="0.35">
      <c r="A33" s="837" t="s">
        <v>324</v>
      </c>
      <c r="B33" s="839" t="s">
        <v>325</v>
      </c>
      <c r="C33" s="692" t="s">
        <v>183</v>
      </c>
      <c r="D33" s="693"/>
    </row>
    <row r="34" spans="1:4" x14ac:dyDescent="0.35">
      <c r="A34" s="838"/>
      <c r="B34" s="840"/>
      <c r="C34" s="694"/>
      <c r="D34" s="693"/>
    </row>
    <row r="35" spans="1:4" ht="31" x14ac:dyDescent="0.35">
      <c r="A35" s="695" t="s">
        <v>124</v>
      </c>
      <c r="B35" s="696" t="s">
        <v>317</v>
      </c>
      <c r="C35" s="697" t="s">
        <v>184</v>
      </c>
      <c r="D35" s="693"/>
    </row>
    <row r="36" spans="1:4" ht="77.5" x14ac:dyDescent="0.35">
      <c r="A36" s="698" t="s">
        <v>125</v>
      </c>
      <c r="B36" s="275" t="s">
        <v>326</v>
      </c>
      <c r="C36" s="699" t="s">
        <v>187</v>
      </c>
      <c r="D36" s="693"/>
    </row>
  </sheetData>
  <sheetProtection algorithmName="SHA-512" hashValue="q3+DRfUYSXzzmIbyvthZYLCvIOkHfSZUTJU/NQ2tVft4OW+ilGhG86BkRWguHaPlyeTjvbr35226tAplVCsB6Q==" saltValue="zP0bIO4rmS5+QpDQLGi1qg==" spinCount="100000" sheet="1" objects="1" scenarios="1"/>
  <mergeCells count="2">
    <mergeCell ref="A33:A34"/>
    <mergeCell ref="B33:B34"/>
  </mergeCells>
  <hyperlinks>
    <hyperlink ref="C33" r:id="rId1" xr:uid="{00000000-0004-0000-0500-000000000000}"/>
    <hyperlink ref="C35" r:id="rId2" xr:uid="{00000000-0004-0000-0500-000001000000}"/>
    <hyperlink ref="C36" r:id="rId3" xr:uid="{60CD4DBD-CA77-4B4B-982D-41A1C4A1CCBA}"/>
    <hyperlink ref="L4" r:id="rId4" xr:uid="{62962A4B-CFAA-4FCB-BCB3-3C2D5F6E3F14}"/>
  </hyperlinks>
  <pageMargins left="0.7" right="0.7" top="0.75" bottom="0.75" header="0.3" footer="0.3"/>
  <pageSetup paperSize="9" orientation="portrait" horizontalDpi="90" verticalDpi="90"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79998168889431442"/>
  </sheetPr>
  <dimension ref="A1:I167"/>
  <sheetViews>
    <sheetView zoomScaleNormal="100" workbookViewId="0"/>
  </sheetViews>
  <sheetFormatPr defaultColWidth="9" defaultRowHeight="13.5" x14ac:dyDescent="0.3"/>
  <cols>
    <col min="1" max="1" width="30.23046875" style="15" customWidth="1"/>
    <col min="2" max="2" width="33.4609375" customWidth="1"/>
    <col min="3" max="3" width="14.61328125" style="106" customWidth="1"/>
    <col min="4" max="4" width="21.765625" customWidth="1"/>
    <col min="5" max="5" width="25.4609375" style="103" customWidth="1"/>
    <col min="6" max="6" width="83.4609375" style="104" customWidth="1"/>
    <col min="7" max="7" width="19.84375" customWidth="1"/>
    <col min="8" max="8" width="9.61328125" customWidth="1"/>
  </cols>
  <sheetData>
    <row r="1" spans="1:7" ht="20" x14ac:dyDescent="0.4">
      <c r="A1" s="262" t="s">
        <v>343</v>
      </c>
      <c r="B1" s="288"/>
      <c r="C1" s="743"/>
      <c r="D1" s="288"/>
      <c r="E1" s="730"/>
      <c r="F1" s="251"/>
      <c r="G1" s="288"/>
    </row>
    <row r="2" spans="1:7" ht="20" x14ac:dyDescent="0.4">
      <c r="A2" s="262"/>
      <c r="B2" s="288"/>
      <c r="C2" s="743"/>
      <c r="D2" s="288"/>
      <c r="E2" s="730"/>
      <c r="F2" s="251"/>
      <c r="G2" s="288"/>
    </row>
    <row r="3" spans="1:7" ht="21.75" customHeight="1" x14ac:dyDescent="0.35">
      <c r="A3" s="654" t="s">
        <v>134</v>
      </c>
      <c r="B3" s="654" t="s">
        <v>136</v>
      </c>
      <c r="C3" s="701" t="s">
        <v>65</v>
      </c>
      <c r="D3" s="702" t="s">
        <v>67</v>
      </c>
      <c r="E3" s="703" t="s">
        <v>1</v>
      </c>
      <c r="F3" s="703" t="s">
        <v>200</v>
      </c>
      <c r="G3" s="288"/>
    </row>
    <row r="4" spans="1:7" ht="31" x14ac:dyDescent="0.35">
      <c r="A4" s="704" t="s">
        <v>375</v>
      </c>
      <c r="B4" s="705" t="s">
        <v>376</v>
      </c>
      <c r="C4" s="706">
        <v>1695</v>
      </c>
      <c r="D4" s="707" t="s">
        <v>258</v>
      </c>
      <c r="E4" s="707">
        <v>1</v>
      </c>
      <c r="F4" s="708" t="s">
        <v>332</v>
      </c>
      <c r="G4" s="288"/>
    </row>
    <row r="5" spans="1:7" ht="31" x14ac:dyDescent="0.35">
      <c r="A5" s="704"/>
      <c r="B5" s="705" t="s">
        <v>377</v>
      </c>
      <c r="C5" s="706">
        <v>169.5</v>
      </c>
      <c r="D5" s="707" t="s">
        <v>411</v>
      </c>
      <c r="E5" s="707">
        <v>1</v>
      </c>
      <c r="F5" s="708" t="s">
        <v>332</v>
      </c>
      <c r="G5" s="288"/>
    </row>
    <row r="6" spans="1:7" ht="15.5" x14ac:dyDescent="0.35">
      <c r="A6" s="709" t="s">
        <v>381</v>
      </c>
      <c r="B6" s="710" t="s">
        <v>553</v>
      </c>
      <c r="C6" s="706">
        <v>306.12</v>
      </c>
      <c r="D6" s="711" t="s">
        <v>69</v>
      </c>
      <c r="E6" s="712">
        <v>1</v>
      </c>
      <c r="F6" s="713" t="s">
        <v>419</v>
      </c>
      <c r="G6" s="288"/>
    </row>
    <row r="7" spans="1:7" ht="15.5" x14ac:dyDescent="0.35">
      <c r="A7" s="709"/>
      <c r="B7" s="710" t="s">
        <v>378</v>
      </c>
      <c r="C7" s="706">
        <v>306.12</v>
      </c>
      <c r="D7" s="711" t="s">
        <v>69</v>
      </c>
      <c r="E7" s="712">
        <v>1</v>
      </c>
      <c r="F7" s="713" t="s">
        <v>415</v>
      </c>
      <c r="G7" s="288"/>
    </row>
    <row r="8" spans="1:7" ht="15.5" x14ac:dyDescent="0.35">
      <c r="A8" s="709"/>
      <c r="B8" s="710" t="s">
        <v>379</v>
      </c>
      <c r="C8" s="706">
        <v>306.12</v>
      </c>
      <c r="D8" s="711" t="s">
        <v>69</v>
      </c>
      <c r="E8" s="712">
        <v>1</v>
      </c>
      <c r="F8" s="713" t="s">
        <v>415</v>
      </c>
      <c r="G8" s="288"/>
    </row>
    <row r="9" spans="1:7" ht="15.5" x14ac:dyDescent="0.35">
      <c r="A9" s="714" t="s">
        <v>382</v>
      </c>
      <c r="B9" s="710" t="s">
        <v>141</v>
      </c>
      <c r="C9" s="706">
        <v>0</v>
      </c>
      <c r="D9" s="715" t="s">
        <v>69</v>
      </c>
      <c r="E9" s="707">
        <v>1</v>
      </c>
      <c r="F9" s="713"/>
      <c r="G9" s="288"/>
    </row>
    <row r="10" spans="1:7" ht="15.5" x14ac:dyDescent="0.35">
      <c r="A10" s="709"/>
      <c r="B10" s="710" t="s">
        <v>118</v>
      </c>
      <c r="C10" s="706">
        <v>137.69</v>
      </c>
      <c r="D10" s="711" t="s">
        <v>69</v>
      </c>
      <c r="E10" s="712">
        <v>1</v>
      </c>
      <c r="F10" s="713" t="s">
        <v>416</v>
      </c>
      <c r="G10" s="288"/>
    </row>
    <row r="11" spans="1:7" ht="15.5" x14ac:dyDescent="0.35">
      <c r="A11" s="709"/>
      <c r="B11" s="710" t="s">
        <v>119</v>
      </c>
      <c r="C11" s="706">
        <v>137.69</v>
      </c>
      <c r="D11" s="711" t="s">
        <v>69</v>
      </c>
      <c r="E11" s="712">
        <v>1</v>
      </c>
      <c r="F11" s="713" t="s">
        <v>416</v>
      </c>
      <c r="G11" s="288"/>
    </row>
    <row r="12" spans="1:7" ht="15.5" x14ac:dyDescent="0.35">
      <c r="A12" s="709"/>
      <c r="B12" s="710" t="s">
        <v>120</v>
      </c>
      <c r="C12" s="716">
        <v>565</v>
      </c>
      <c r="D12" s="715" t="s">
        <v>69</v>
      </c>
      <c r="E12" s="707" t="s">
        <v>139</v>
      </c>
      <c r="F12" s="710" t="s">
        <v>417</v>
      </c>
      <c r="G12" s="717"/>
    </row>
    <row r="13" spans="1:7" ht="13.5" customHeight="1" x14ac:dyDescent="0.35">
      <c r="A13" s="709"/>
      <c r="B13" s="710" t="s">
        <v>121</v>
      </c>
      <c r="C13" s="716">
        <v>339</v>
      </c>
      <c r="D13" s="715" t="s">
        <v>69</v>
      </c>
      <c r="E13" s="707">
        <v>1</v>
      </c>
      <c r="F13" s="710" t="s">
        <v>351</v>
      </c>
      <c r="G13" s="288"/>
    </row>
    <row r="14" spans="1:7" ht="13.5" customHeight="1" x14ac:dyDescent="0.35">
      <c r="A14" s="709"/>
      <c r="B14" s="710" t="s">
        <v>122</v>
      </c>
      <c r="C14" s="716">
        <v>169.5</v>
      </c>
      <c r="D14" s="711" t="s">
        <v>69</v>
      </c>
      <c r="E14" s="707">
        <v>1</v>
      </c>
      <c r="F14" s="710" t="s">
        <v>418</v>
      </c>
      <c r="G14" s="288"/>
    </row>
    <row r="15" spans="1:7" ht="15.5" x14ac:dyDescent="0.35">
      <c r="A15" s="709" t="s">
        <v>383</v>
      </c>
      <c r="B15" s="710" t="s">
        <v>77</v>
      </c>
      <c r="C15" s="706">
        <v>0.4</v>
      </c>
      <c r="D15" s="715" t="s">
        <v>68</v>
      </c>
      <c r="E15" s="707" t="s">
        <v>100</v>
      </c>
      <c r="F15" s="710" t="s">
        <v>424</v>
      </c>
      <c r="G15" s="288"/>
    </row>
    <row r="16" spans="1:7" ht="15.5" x14ac:dyDescent="0.35">
      <c r="A16" s="709"/>
      <c r="B16" s="710" t="s">
        <v>380</v>
      </c>
      <c r="C16" s="706">
        <v>0.4</v>
      </c>
      <c r="D16" s="715" t="s">
        <v>68</v>
      </c>
      <c r="E16" s="707" t="s">
        <v>101</v>
      </c>
      <c r="F16" s="710" t="s">
        <v>352</v>
      </c>
      <c r="G16" s="288"/>
    </row>
    <row r="17" spans="1:9" ht="15.5" x14ac:dyDescent="0.35">
      <c r="A17" s="709"/>
      <c r="B17" s="710" t="s">
        <v>137</v>
      </c>
      <c r="C17" s="706">
        <v>0.56999999999999995</v>
      </c>
      <c r="D17" s="715" t="s">
        <v>68</v>
      </c>
      <c r="E17" s="707">
        <v>1</v>
      </c>
      <c r="F17" s="710" t="s">
        <v>352</v>
      </c>
      <c r="G17" s="288"/>
    </row>
    <row r="18" spans="1:9" ht="15.5" x14ac:dyDescent="0.35">
      <c r="A18" s="709" t="s">
        <v>384</v>
      </c>
      <c r="B18" s="710" t="s">
        <v>77</v>
      </c>
      <c r="C18" s="716">
        <v>0.28000000000000003</v>
      </c>
      <c r="D18" s="715" t="s">
        <v>68</v>
      </c>
      <c r="E18" s="707" t="s">
        <v>100</v>
      </c>
      <c r="F18" s="710" t="s">
        <v>352</v>
      </c>
      <c r="G18" s="288"/>
    </row>
    <row r="19" spans="1:9" ht="15.5" x14ac:dyDescent="0.35">
      <c r="A19" s="709"/>
      <c r="B19" s="710" t="s">
        <v>380</v>
      </c>
      <c r="C19" s="716">
        <v>0.28000000000000003</v>
      </c>
      <c r="D19" s="715" t="s">
        <v>68</v>
      </c>
      <c r="E19" s="707" t="s">
        <v>101</v>
      </c>
      <c r="F19" s="710" t="s">
        <v>352</v>
      </c>
      <c r="G19" s="288"/>
    </row>
    <row r="20" spans="1:9" ht="15.5" x14ac:dyDescent="0.35">
      <c r="A20" s="709"/>
      <c r="B20" s="710" t="s">
        <v>137</v>
      </c>
      <c r="C20" s="716">
        <v>0.45</v>
      </c>
      <c r="D20" s="715" t="s">
        <v>68</v>
      </c>
      <c r="E20" s="707">
        <v>1</v>
      </c>
      <c r="F20" s="710" t="s">
        <v>352</v>
      </c>
      <c r="G20" s="288"/>
    </row>
    <row r="21" spans="1:9" ht="15.5" x14ac:dyDescent="0.35">
      <c r="A21" s="714"/>
      <c r="B21" s="718" t="s">
        <v>73</v>
      </c>
      <c r="C21" s="706">
        <v>0.08</v>
      </c>
      <c r="D21" s="711" t="s">
        <v>201</v>
      </c>
      <c r="E21" s="712">
        <v>1</v>
      </c>
      <c r="F21" s="713" t="s">
        <v>420</v>
      </c>
      <c r="G21" s="288"/>
      <c r="H21" s="16"/>
      <c r="I21" s="16"/>
    </row>
    <row r="22" spans="1:9" ht="15.65" customHeight="1" x14ac:dyDescent="0.35">
      <c r="A22" s="709" t="s">
        <v>385</v>
      </c>
      <c r="B22" s="710" t="s">
        <v>318</v>
      </c>
      <c r="C22" s="706">
        <v>1.79</v>
      </c>
      <c r="D22" s="715" t="s">
        <v>237</v>
      </c>
      <c r="E22" s="712">
        <v>1</v>
      </c>
      <c r="F22" s="713" t="s">
        <v>333</v>
      </c>
      <c r="G22" s="288"/>
    </row>
    <row r="23" spans="1:9" ht="15.65" customHeight="1" x14ac:dyDescent="0.35">
      <c r="A23" s="709"/>
      <c r="B23" s="710" t="s">
        <v>262</v>
      </c>
      <c r="C23" s="706">
        <v>0.6</v>
      </c>
      <c r="D23" s="715" t="s">
        <v>237</v>
      </c>
      <c r="E23" s="712">
        <v>1</v>
      </c>
      <c r="F23" s="713" t="s">
        <v>334</v>
      </c>
      <c r="G23" s="288"/>
    </row>
    <row r="24" spans="1:9" ht="15.5" x14ac:dyDescent="0.35">
      <c r="A24" s="709"/>
      <c r="B24" s="710" t="s">
        <v>347</v>
      </c>
      <c r="C24" s="719">
        <v>1.1299999999999999</v>
      </c>
      <c r="D24" s="715" t="s">
        <v>237</v>
      </c>
      <c r="E24" s="707">
        <v>10</v>
      </c>
      <c r="F24" s="710" t="s">
        <v>353</v>
      </c>
      <c r="G24" s="288"/>
    </row>
    <row r="25" spans="1:9" ht="15.5" x14ac:dyDescent="0.35">
      <c r="A25" s="709"/>
      <c r="B25" s="710" t="s">
        <v>348</v>
      </c>
      <c r="C25" s="719">
        <v>0.27</v>
      </c>
      <c r="D25" s="715" t="s">
        <v>238</v>
      </c>
      <c r="E25" s="707">
        <v>1</v>
      </c>
      <c r="F25" s="710" t="s">
        <v>421</v>
      </c>
      <c r="G25" s="288"/>
    </row>
    <row r="26" spans="1:9" ht="15.5" x14ac:dyDescent="0.35">
      <c r="A26" s="709"/>
      <c r="B26" s="718" t="s">
        <v>349</v>
      </c>
      <c r="C26" s="719">
        <v>16.95</v>
      </c>
      <c r="D26" s="711" t="s">
        <v>69</v>
      </c>
      <c r="E26" s="712" t="s">
        <v>221</v>
      </c>
      <c r="F26" s="710" t="s">
        <v>420</v>
      </c>
      <c r="G26" s="288"/>
    </row>
    <row r="27" spans="1:9" ht="15.5" x14ac:dyDescent="0.35">
      <c r="A27" s="709"/>
      <c r="B27" s="718" t="s">
        <v>350</v>
      </c>
      <c r="C27" s="706">
        <v>113</v>
      </c>
      <c r="D27" s="711" t="s">
        <v>69</v>
      </c>
      <c r="E27" s="712">
        <v>15</v>
      </c>
      <c r="F27" s="710" t="s">
        <v>422</v>
      </c>
      <c r="G27" s="288"/>
    </row>
    <row r="28" spans="1:9" ht="31" x14ac:dyDescent="0.35">
      <c r="A28" s="709" t="s">
        <v>386</v>
      </c>
      <c r="B28" s="710" t="s">
        <v>6</v>
      </c>
      <c r="C28" s="716">
        <v>226</v>
      </c>
      <c r="D28" s="715" t="s">
        <v>69</v>
      </c>
      <c r="E28" s="707" t="s">
        <v>135</v>
      </c>
      <c r="F28" s="710" t="s">
        <v>423</v>
      </c>
      <c r="G28" s="288"/>
    </row>
    <row r="29" spans="1:9" ht="55.5" customHeight="1" x14ac:dyDescent="0.35">
      <c r="A29" s="709"/>
      <c r="B29" s="710" t="s">
        <v>107</v>
      </c>
      <c r="C29" s="720" t="s">
        <v>477</v>
      </c>
      <c r="D29" s="715" t="s">
        <v>68</v>
      </c>
      <c r="E29" s="707" t="s">
        <v>319</v>
      </c>
      <c r="F29" s="710" t="s">
        <v>477</v>
      </c>
      <c r="G29" s="288"/>
    </row>
    <row r="30" spans="1:9" ht="15" customHeight="1" x14ac:dyDescent="0.35">
      <c r="A30" s="709" t="s">
        <v>138</v>
      </c>
      <c r="B30" s="710" t="s">
        <v>268</v>
      </c>
      <c r="C30" s="706">
        <v>7.91</v>
      </c>
      <c r="D30" s="715" t="s">
        <v>75</v>
      </c>
      <c r="E30" s="707">
        <v>1</v>
      </c>
      <c r="F30" s="713" t="s">
        <v>425</v>
      </c>
      <c r="G30" s="288"/>
    </row>
    <row r="31" spans="1:9" ht="31" x14ac:dyDescent="0.35">
      <c r="A31" s="709"/>
      <c r="B31" s="705" t="s">
        <v>389</v>
      </c>
      <c r="C31" s="706">
        <v>22.6</v>
      </c>
      <c r="D31" s="715" t="s">
        <v>75</v>
      </c>
      <c r="E31" s="707">
        <v>1</v>
      </c>
      <c r="F31" s="713" t="s">
        <v>335</v>
      </c>
      <c r="G31" s="288"/>
    </row>
    <row r="32" spans="1:9" ht="31" x14ac:dyDescent="0.35">
      <c r="A32" s="709"/>
      <c r="B32" s="705" t="s">
        <v>390</v>
      </c>
      <c r="C32" s="716">
        <v>16.95</v>
      </c>
      <c r="D32" s="715" t="s">
        <v>75</v>
      </c>
      <c r="E32" s="707">
        <v>1</v>
      </c>
      <c r="F32" s="713" t="s">
        <v>335</v>
      </c>
      <c r="G32" s="288"/>
    </row>
    <row r="33" spans="1:7" ht="15.5" x14ac:dyDescent="0.35">
      <c r="A33" s="709"/>
      <c r="B33" s="710" t="s">
        <v>66</v>
      </c>
      <c r="C33" s="706">
        <v>3.53</v>
      </c>
      <c r="D33" s="715" t="s">
        <v>75</v>
      </c>
      <c r="E33" s="707">
        <v>1</v>
      </c>
      <c r="F33" s="713" t="s">
        <v>335</v>
      </c>
      <c r="G33" s="288"/>
    </row>
    <row r="34" spans="1:7" ht="15.5" x14ac:dyDescent="0.35">
      <c r="A34" s="709"/>
      <c r="B34" s="710" t="s">
        <v>373</v>
      </c>
      <c r="C34" s="706">
        <v>636.19000000000005</v>
      </c>
      <c r="D34" s="715" t="s">
        <v>236</v>
      </c>
      <c r="E34" s="712">
        <v>1</v>
      </c>
      <c r="F34" s="713" t="s">
        <v>335</v>
      </c>
      <c r="G34" s="288"/>
    </row>
    <row r="35" spans="1:7" ht="15.5" x14ac:dyDescent="0.35">
      <c r="A35" s="709"/>
      <c r="B35" s="710" t="s">
        <v>374</v>
      </c>
      <c r="C35" s="706">
        <v>387.25</v>
      </c>
      <c r="D35" s="715" t="s">
        <v>236</v>
      </c>
      <c r="E35" s="712">
        <v>1</v>
      </c>
      <c r="F35" s="713" t="s">
        <v>335</v>
      </c>
      <c r="G35" s="288"/>
    </row>
    <row r="36" spans="1:7" ht="15.5" x14ac:dyDescent="0.35">
      <c r="A36" s="709"/>
      <c r="B36" s="710" t="s">
        <v>197</v>
      </c>
      <c r="C36" s="716">
        <v>4.63</v>
      </c>
      <c r="D36" s="715" t="s">
        <v>75</v>
      </c>
      <c r="E36" s="707">
        <v>1</v>
      </c>
      <c r="F36" s="713" t="s">
        <v>335</v>
      </c>
      <c r="G36" s="288"/>
    </row>
    <row r="37" spans="1:7" ht="15.5" x14ac:dyDescent="0.35">
      <c r="A37" s="709" t="s">
        <v>387</v>
      </c>
      <c r="B37" s="710" t="s">
        <v>391</v>
      </c>
      <c r="C37" s="716">
        <v>113</v>
      </c>
      <c r="D37" s="715" t="s">
        <v>75</v>
      </c>
      <c r="E37" s="707">
        <v>15</v>
      </c>
      <c r="F37" s="710" t="s">
        <v>426</v>
      </c>
      <c r="G37" s="288"/>
    </row>
    <row r="38" spans="1:7" ht="15.5" x14ac:dyDescent="0.35">
      <c r="A38" s="709"/>
      <c r="B38" s="710" t="s">
        <v>392</v>
      </c>
      <c r="C38" s="716">
        <v>15</v>
      </c>
      <c r="D38" s="715" t="s">
        <v>75</v>
      </c>
      <c r="E38" s="707">
        <v>1</v>
      </c>
      <c r="F38" s="710" t="s">
        <v>354</v>
      </c>
      <c r="G38" s="288"/>
    </row>
    <row r="39" spans="1:7" ht="15.5" x14ac:dyDescent="0.35">
      <c r="A39" s="709" t="s">
        <v>140</v>
      </c>
      <c r="B39" s="710" t="s">
        <v>71</v>
      </c>
      <c r="C39" s="716">
        <v>56.5</v>
      </c>
      <c r="D39" s="715" t="s">
        <v>69</v>
      </c>
      <c r="E39" s="707" t="s">
        <v>70</v>
      </c>
      <c r="F39" s="710" t="s">
        <v>355</v>
      </c>
      <c r="G39" s="288"/>
    </row>
    <row r="40" spans="1:7" ht="15.5" x14ac:dyDescent="0.35">
      <c r="A40" s="709"/>
      <c r="B40" s="710" t="s">
        <v>72</v>
      </c>
      <c r="C40" s="716">
        <v>11.3</v>
      </c>
      <c r="D40" s="715" t="s">
        <v>69</v>
      </c>
      <c r="E40" s="707" t="s">
        <v>70</v>
      </c>
      <c r="F40" s="710" t="s">
        <v>355</v>
      </c>
      <c r="G40" s="288"/>
    </row>
    <row r="41" spans="1:7" ht="15.5" x14ac:dyDescent="0.35">
      <c r="A41" s="709"/>
      <c r="B41" s="710" t="s">
        <v>393</v>
      </c>
      <c r="C41" s="716">
        <v>84.75</v>
      </c>
      <c r="D41" s="711" t="s">
        <v>69</v>
      </c>
      <c r="E41" s="707" t="s">
        <v>189</v>
      </c>
      <c r="F41" s="710" t="s">
        <v>356</v>
      </c>
      <c r="G41" s="288"/>
    </row>
    <row r="42" spans="1:7" ht="15.5" x14ac:dyDescent="0.35">
      <c r="A42" s="709"/>
      <c r="B42" s="710" t="s">
        <v>394</v>
      </c>
      <c r="C42" s="716">
        <v>4.63</v>
      </c>
      <c r="D42" s="715" t="s">
        <v>75</v>
      </c>
      <c r="E42" s="707" t="s">
        <v>188</v>
      </c>
      <c r="F42" s="710" t="s">
        <v>420</v>
      </c>
      <c r="G42" s="288"/>
    </row>
    <row r="43" spans="1:7" ht="15.5" x14ac:dyDescent="0.35">
      <c r="A43" s="709"/>
      <c r="B43" s="710" t="s">
        <v>395</v>
      </c>
      <c r="C43" s="716">
        <v>11.3</v>
      </c>
      <c r="D43" s="715" t="s">
        <v>75</v>
      </c>
      <c r="E43" s="707" t="s">
        <v>188</v>
      </c>
      <c r="F43" s="710" t="s">
        <v>427</v>
      </c>
      <c r="G43" s="288"/>
    </row>
    <row r="44" spans="1:7" ht="15.5" x14ac:dyDescent="0.35">
      <c r="A44" s="709"/>
      <c r="B44" s="710" t="s">
        <v>396</v>
      </c>
      <c r="C44" s="716">
        <v>5.65</v>
      </c>
      <c r="D44" s="715" t="s">
        <v>75</v>
      </c>
      <c r="E44" s="707" t="s">
        <v>188</v>
      </c>
      <c r="F44" s="710" t="s">
        <v>427</v>
      </c>
      <c r="G44" s="288"/>
    </row>
    <row r="45" spans="1:7" ht="15.5" x14ac:dyDescent="0.35">
      <c r="A45" s="709"/>
      <c r="B45" s="710" t="s">
        <v>234</v>
      </c>
      <c r="C45" s="716">
        <v>159.05000000000001</v>
      </c>
      <c r="D45" s="715" t="s">
        <v>236</v>
      </c>
      <c r="E45" s="707" t="s">
        <v>188</v>
      </c>
      <c r="F45" s="710" t="s">
        <v>583</v>
      </c>
      <c r="G45" s="288"/>
    </row>
    <row r="46" spans="1:7" ht="15.5" x14ac:dyDescent="0.35">
      <c r="A46" s="709"/>
      <c r="B46" s="710" t="s">
        <v>235</v>
      </c>
      <c r="C46" s="716">
        <v>106.23</v>
      </c>
      <c r="D46" s="715" t="s">
        <v>236</v>
      </c>
      <c r="E46" s="707" t="s">
        <v>188</v>
      </c>
      <c r="F46" s="710" t="s">
        <v>583</v>
      </c>
      <c r="G46" s="288"/>
    </row>
    <row r="47" spans="1:7" ht="15.5" x14ac:dyDescent="0.35">
      <c r="A47" s="709"/>
      <c r="B47" s="718" t="s">
        <v>397</v>
      </c>
      <c r="C47" s="719">
        <v>35</v>
      </c>
      <c r="D47" s="715" t="s">
        <v>69</v>
      </c>
      <c r="E47" s="707" t="s">
        <v>70</v>
      </c>
      <c r="F47" s="710" t="s">
        <v>357</v>
      </c>
      <c r="G47" s="288"/>
    </row>
    <row r="48" spans="1:7" ht="46.5" x14ac:dyDescent="0.35">
      <c r="A48" s="709"/>
      <c r="B48" s="718" t="s">
        <v>169</v>
      </c>
      <c r="C48" s="716">
        <v>339</v>
      </c>
      <c r="D48" s="711" t="s">
        <v>160</v>
      </c>
      <c r="E48" s="712" t="s">
        <v>199</v>
      </c>
      <c r="F48" s="710" t="s">
        <v>358</v>
      </c>
      <c r="G48" s="288"/>
    </row>
    <row r="49" spans="1:7" ht="31" x14ac:dyDescent="0.35">
      <c r="A49" s="691" t="s">
        <v>584</v>
      </c>
      <c r="B49" s="721"/>
      <c r="C49" s="722" t="s">
        <v>408</v>
      </c>
      <c r="D49" s="651" t="s">
        <v>409</v>
      </c>
      <c r="E49" s="703" t="s">
        <v>1</v>
      </c>
      <c r="F49" s="709"/>
      <c r="G49" s="288"/>
    </row>
    <row r="50" spans="1:7" ht="17.149999999999999" customHeight="1" x14ac:dyDescent="0.35">
      <c r="A50" s="723" t="s">
        <v>59</v>
      </c>
      <c r="B50" s="279" t="s">
        <v>483</v>
      </c>
      <c r="C50" s="719">
        <v>300</v>
      </c>
      <c r="D50" s="719">
        <v>250</v>
      </c>
      <c r="E50" s="724">
        <v>1</v>
      </c>
      <c r="F50" s="710" t="s">
        <v>490</v>
      </c>
      <c r="G50" s="288"/>
    </row>
    <row r="51" spans="1:7" ht="17.149999999999999" customHeight="1" x14ac:dyDescent="0.35">
      <c r="A51" s="723" t="s">
        <v>153</v>
      </c>
      <c r="B51" s="279" t="s">
        <v>398</v>
      </c>
      <c r="C51" s="719">
        <v>2000</v>
      </c>
      <c r="D51" s="719">
        <v>1500</v>
      </c>
      <c r="E51" s="724">
        <v>1</v>
      </c>
      <c r="F51" s="710" t="s">
        <v>490</v>
      </c>
      <c r="G51" s="288"/>
    </row>
    <row r="52" spans="1:7" ht="28.5" customHeight="1" x14ac:dyDescent="0.35">
      <c r="A52" s="723"/>
      <c r="B52" s="279" t="s">
        <v>401</v>
      </c>
      <c r="C52" s="706">
        <v>2117</v>
      </c>
      <c r="D52" s="706">
        <v>820</v>
      </c>
      <c r="E52" s="724">
        <v>1</v>
      </c>
      <c r="F52" s="725" t="s">
        <v>478</v>
      </c>
      <c r="G52" s="288"/>
    </row>
    <row r="53" spans="1:7" ht="17.149999999999999" customHeight="1" x14ac:dyDescent="0.35">
      <c r="A53" s="723" t="s">
        <v>157</v>
      </c>
      <c r="B53" s="279" t="s">
        <v>399</v>
      </c>
      <c r="C53" s="719">
        <v>2250</v>
      </c>
      <c r="D53" s="719">
        <v>1750</v>
      </c>
      <c r="E53" s="724">
        <v>5</v>
      </c>
      <c r="F53" s="710" t="s">
        <v>490</v>
      </c>
      <c r="G53" s="288"/>
    </row>
    <row r="54" spans="1:7" ht="17.149999999999999" customHeight="1" x14ac:dyDescent="0.35">
      <c r="A54" s="723"/>
      <c r="B54" s="279" t="s">
        <v>400</v>
      </c>
      <c r="C54" s="706">
        <v>2702</v>
      </c>
      <c r="D54" s="706">
        <v>904</v>
      </c>
      <c r="E54" s="724">
        <v>5</v>
      </c>
      <c r="F54" s="713" t="s">
        <v>336</v>
      </c>
      <c r="G54" s="288"/>
    </row>
    <row r="55" spans="1:7" ht="17.149999999999999" customHeight="1" x14ac:dyDescent="0.35">
      <c r="A55" s="723"/>
      <c r="B55" s="279" t="s">
        <v>402</v>
      </c>
      <c r="C55" s="719">
        <v>2250</v>
      </c>
      <c r="D55" s="719">
        <v>1750</v>
      </c>
      <c r="E55" s="724" t="s">
        <v>223</v>
      </c>
      <c r="F55" s="710" t="s">
        <v>490</v>
      </c>
      <c r="G55" s="288"/>
    </row>
    <row r="56" spans="1:7" ht="17.149999999999999" customHeight="1" x14ac:dyDescent="0.35">
      <c r="A56" s="723"/>
      <c r="B56" s="279" t="s">
        <v>403</v>
      </c>
      <c r="C56" s="706">
        <v>2702</v>
      </c>
      <c r="D56" s="706">
        <v>904</v>
      </c>
      <c r="E56" s="724" t="s">
        <v>223</v>
      </c>
      <c r="F56" s="713" t="s">
        <v>336</v>
      </c>
      <c r="G56" s="288"/>
    </row>
    <row r="57" spans="1:7" ht="17.149999999999999" customHeight="1" x14ac:dyDescent="0.35">
      <c r="A57" s="723"/>
      <c r="B57" s="270"/>
      <c r="C57" s="652" t="s">
        <v>410</v>
      </c>
      <c r="D57" s="726" t="s">
        <v>226</v>
      </c>
      <c r="E57" s="727" t="s">
        <v>1</v>
      </c>
      <c r="F57" s="710"/>
      <c r="G57" s="288"/>
    </row>
    <row r="58" spans="1:7" ht="17.149999999999999" customHeight="1" x14ac:dyDescent="0.35">
      <c r="A58" s="723" t="s">
        <v>225</v>
      </c>
      <c r="B58" s="279" t="s">
        <v>404</v>
      </c>
      <c r="C58" s="706">
        <v>0.05</v>
      </c>
      <c r="D58" s="841" t="s">
        <v>412</v>
      </c>
      <c r="E58" s="711">
        <v>1</v>
      </c>
      <c r="F58" s="710" t="s">
        <v>585</v>
      </c>
      <c r="G58" s="288"/>
    </row>
    <row r="59" spans="1:7" ht="24" customHeight="1" x14ac:dyDescent="0.35">
      <c r="A59" s="723"/>
      <c r="B59" s="279" t="s">
        <v>405</v>
      </c>
      <c r="C59" s="706">
        <v>0.1</v>
      </c>
      <c r="D59" s="842"/>
      <c r="E59" s="711">
        <v>1</v>
      </c>
      <c r="F59" s="710" t="s">
        <v>585</v>
      </c>
      <c r="G59" s="288"/>
    </row>
    <row r="60" spans="1:7" ht="35.25" customHeight="1" x14ac:dyDescent="0.35">
      <c r="A60" s="723"/>
      <c r="B60" s="279" t="s">
        <v>406</v>
      </c>
      <c r="C60" s="706">
        <v>0.1</v>
      </c>
      <c r="D60" s="728" t="s">
        <v>413</v>
      </c>
      <c r="E60" s="718" t="s">
        <v>223</v>
      </c>
      <c r="F60" s="279"/>
      <c r="G60" s="288"/>
    </row>
    <row r="61" spans="1:7" ht="44.5" customHeight="1" x14ac:dyDescent="0.35">
      <c r="A61" s="723"/>
      <c r="B61" s="270"/>
      <c r="C61" s="729" t="s">
        <v>548</v>
      </c>
      <c r="D61" s="726" t="s">
        <v>547</v>
      </c>
      <c r="E61" s="726" t="s">
        <v>414</v>
      </c>
      <c r="F61" s="279"/>
      <c r="G61" s="288"/>
    </row>
    <row r="62" spans="1:7" ht="17.149999999999999" customHeight="1" x14ac:dyDescent="0.35">
      <c r="A62" s="723" t="s">
        <v>224</v>
      </c>
      <c r="B62" s="279" t="s">
        <v>586</v>
      </c>
      <c r="C62" s="719">
        <v>1250</v>
      </c>
      <c r="D62" s="716">
        <v>850</v>
      </c>
      <c r="E62" s="716">
        <v>300</v>
      </c>
      <c r="F62" s="279"/>
      <c r="G62" s="288"/>
    </row>
    <row r="63" spans="1:7" ht="17.149999999999999" customHeight="1" x14ac:dyDescent="0.35">
      <c r="A63" s="723"/>
      <c r="B63" s="279" t="s">
        <v>587</v>
      </c>
      <c r="C63" s="719">
        <v>1250</v>
      </c>
      <c r="D63" s="716">
        <v>850</v>
      </c>
      <c r="E63" s="716">
        <v>300</v>
      </c>
      <c r="F63" s="279"/>
      <c r="G63" s="288"/>
    </row>
    <row r="64" spans="1:7" ht="17.149999999999999" customHeight="1" x14ac:dyDescent="0.35">
      <c r="A64" s="641"/>
      <c r="B64" s="288"/>
      <c r="C64" s="687"/>
      <c r="D64" s="288"/>
      <c r="E64" s="730"/>
      <c r="F64" s="287"/>
      <c r="G64" s="288"/>
    </row>
    <row r="65" spans="1:7" ht="17.149999999999999" customHeight="1" x14ac:dyDescent="0.35">
      <c r="A65" s="731" t="s">
        <v>388</v>
      </c>
      <c r="B65" s="732" t="s">
        <v>407</v>
      </c>
      <c r="C65" s="733"/>
      <c r="D65" s="665"/>
      <c r="E65" s="734"/>
      <c r="F65" s="843"/>
      <c r="G65" s="288"/>
    </row>
    <row r="66" spans="1:7" ht="17.149999999999999" customHeight="1" x14ac:dyDescent="0.35">
      <c r="A66" s="735"/>
      <c r="B66" s="736" t="s">
        <v>588</v>
      </c>
      <c r="C66" s="737"/>
      <c r="D66" s="475"/>
      <c r="E66" s="738"/>
      <c r="F66" s="844"/>
      <c r="G66" s="288"/>
    </row>
    <row r="67" spans="1:7" ht="48.65" customHeight="1" x14ac:dyDescent="0.35">
      <c r="A67" s="702" t="s">
        <v>1</v>
      </c>
      <c r="B67" s="702" t="s">
        <v>589</v>
      </c>
      <c r="C67" s="739" t="s">
        <v>590</v>
      </c>
      <c r="D67" s="703" t="s">
        <v>591</v>
      </c>
      <c r="E67" s="703" t="s">
        <v>592</v>
      </c>
      <c r="F67" s="730"/>
      <c r="G67" s="288"/>
    </row>
    <row r="68" spans="1:7" ht="15.5" x14ac:dyDescent="0.35">
      <c r="A68" s="629">
        <v>1</v>
      </c>
      <c r="B68" s="740">
        <f>MAX('Cost data'!$C$47,'Cost data'!A68/38*'Income data'!$H$5)</f>
        <v>35</v>
      </c>
      <c r="C68" s="284">
        <f>MAX('Cost data'!$C$47,'Cost data'!A68/76*'Income data'!$H$6)</f>
        <v>35</v>
      </c>
      <c r="D68" s="741">
        <f>MAX('Cost data'!$C$47,'Cost data'!A68/60*'Income data'!$H$7)</f>
        <v>35</v>
      </c>
      <c r="E68" s="742">
        <f>$C$47</f>
        <v>35</v>
      </c>
      <c r="F68" s="730"/>
      <c r="G68" s="642"/>
    </row>
    <row r="69" spans="1:7" ht="15.5" x14ac:dyDescent="0.35">
      <c r="A69" s="629">
        <v>2</v>
      </c>
      <c r="B69" s="740">
        <f>MAX('Cost data'!$C$47,'Cost data'!A69/38*'Income data'!$H$5)</f>
        <v>35</v>
      </c>
      <c r="C69" s="284">
        <f>MAX('Cost data'!$C$47,'Cost data'!A69/76*'Income data'!$H$6)</f>
        <v>35</v>
      </c>
      <c r="D69" s="741">
        <f>MAX('Cost data'!$C$47,'Cost data'!A69/60*'Income data'!$H$7)</f>
        <v>35</v>
      </c>
      <c r="E69" s="742">
        <f t="shared" ref="E69:E132" si="0">$C$47</f>
        <v>35</v>
      </c>
      <c r="F69" s="730"/>
      <c r="G69" s="642"/>
    </row>
    <row r="70" spans="1:7" ht="15.5" x14ac:dyDescent="0.35">
      <c r="A70" s="629">
        <v>3</v>
      </c>
      <c r="B70" s="740">
        <f>MAX('Cost data'!$C$47,'Cost data'!A70/38*'Income data'!$H$5)</f>
        <v>35</v>
      </c>
      <c r="C70" s="284">
        <f>MAX('Cost data'!$C$47,'Cost data'!A70/76*'Income data'!$H$6)</f>
        <v>35</v>
      </c>
      <c r="D70" s="741">
        <f>MAX('Cost data'!$C$47,'Cost data'!A70/60*'Income data'!$H$7)</f>
        <v>35</v>
      </c>
      <c r="E70" s="742">
        <f t="shared" si="0"/>
        <v>35</v>
      </c>
      <c r="F70" s="730"/>
      <c r="G70" s="642"/>
    </row>
    <row r="71" spans="1:7" ht="15.5" x14ac:dyDescent="0.35">
      <c r="A71" s="629">
        <v>4</v>
      </c>
      <c r="B71" s="740">
        <f>MAX('Cost data'!$C$47,'Cost data'!A71/38*'Income data'!$H$5)</f>
        <v>35</v>
      </c>
      <c r="C71" s="284">
        <f>MAX('Cost data'!$C$47,'Cost data'!A71/76*'Income data'!$H$6)</f>
        <v>35</v>
      </c>
      <c r="D71" s="741">
        <f>MAX('Cost data'!$C$47,'Cost data'!A71/60*'Income data'!$H$7)</f>
        <v>35</v>
      </c>
      <c r="E71" s="742">
        <f t="shared" si="0"/>
        <v>35</v>
      </c>
      <c r="F71" s="730"/>
      <c r="G71" s="642"/>
    </row>
    <row r="72" spans="1:7" ht="15.5" x14ac:dyDescent="0.35">
      <c r="A72" s="629">
        <v>5</v>
      </c>
      <c r="B72" s="740">
        <f>MAX('Cost data'!$C$47,'Cost data'!A72/38*'Income data'!$H$5)</f>
        <v>35</v>
      </c>
      <c r="C72" s="284">
        <f>MAX('Cost data'!$C$47,'Cost data'!A72/76*'Income data'!$H$6)</f>
        <v>35</v>
      </c>
      <c r="D72" s="741">
        <f>MAX('Cost data'!$C$47,'Cost data'!A72/60*'Income data'!$H$7)</f>
        <v>35</v>
      </c>
      <c r="E72" s="742">
        <f t="shared" si="0"/>
        <v>35</v>
      </c>
      <c r="F72" s="730"/>
      <c r="G72" s="642"/>
    </row>
    <row r="73" spans="1:7" ht="15.5" x14ac:dyDescent="0.35">
      <c r="A73" s="629">
        <v>6</v>
      </c>
      <c r="B73" s="740">
        <f>MAX('Cost data'!$C$47,'Cost data'!A73/38*'Income data'!$H$5)</f>
        <v>35</v>
      </c>
      <c r="C73" s="284">
        <f>MAX('Cost data'!$C$47,'Cost data'!A73/76*'Income data'!$H$6)</f>
        <v>35</v>
      </c>
      <c r="D73" s="741">
        <f>MAX('Cost data'!$C$47,'Cost data'!A73/60*'Income data'!$H$7)</f>
        <v>35</v>
      </c>
      <c r="E73" s="742">
        <f t="shared" si="0"/>
        <v>35</v>
      </c>
      <c r="F73" s="730"/>
      <c r="G73" s="642"/>
    </row>
    <row r="74" spans="1:7" ht="15.5" x14ac:dyDescent="0.35">
      <c r="A74" s="629">
        <v>7</v>
      </c>
      <c r="B74" s="740">
        <f>MAX('Cost data'!$C$47,'Cost data'!A74/38*'Income data'!$H$5)</f>
        <v>35</v>
      </c>
      <c r="C74" s="284">
        <f>MAX('Cost data'!$C$47,'Cost data'!A74/76*'Income data'!$H$6)</f>
        <v>35</v>
      </c>
      <c r="D74" s="741">
        <f>MAX('Cost data'!$C$47,'Cost data'!A74/60*'Income data'!$H$7)</f>
        <v>35</v>
      </c>
      <c r="E74" s="742">
        <f t="shared" si="0"/>
        <v>35</v>
      </c>
      <c r="F74" s="271"/>
      <c r="G74" s="288"/>
    </row>
    <row r="75" spans="1:7" ht="15.5" x14ac:dyDescent="0.35">
      <c r="A75" s="629">
        <v>8</v>
      </c>
      <c r="B75" s="740">
        <f>MAX('Cost data'!$C$47,'Cost data'!A75/38*'Income data'!$H$5)</f>
        <v>35</v>
      </c>
      <c r="C75" s="284">
        <f>MAX('Cost data'!$C$47,'Cost data'!A75/76*'Income data'!$H$6)</f>
        <v>35</v>
      </c>
      <c r="D75" s="741">
        <f>MAX('Cost data'!$C$47,'Cost data'!A75/60*'Income data'!$H$7)</f>
        <v>35</v>
      </c>
      <c r="E75" s="742">
        <f t="shared" si="0"/>
        <v>35</v>
      </c>
      <c r="F75" s="271"/>
      <c r="G75" s="288"/>
    </row>
    <row r="76" spans="1:7" ht="15.5" x14ac:dyDescent="0.35">
      <c r="A76" s="629">
        <v>9</v>
      </c>
      <c r="B76" s="740">
        <f>MAX('Cost data'!$C$47,'Cost data'!A76/38*'Income data'!$H$5)</f>
        <v>35</v>
      </c>
      <c r="C76" s="284">
        <f>MAX('Cost data'!$C$47,'Cost data'!A76/76*'Income data'!$H$6)</f>
        <v>35</v>
      </c>
      <c r="D76" s="741">
        <f>MAX('Cost data'!$C$47,'Cost data'!A76/60*'Income data'!$H$7)</f>
        <v>35</v>
      </c>
      <c r="E76" s="742">
        <f t="shared" si="0"/>
        <v>35</v>
      </c>
      <c r="F76" s="271"/>
      <c r="G76" s="288"/>
    </row>
    <row r="77" spans="1:7" ht="15.5" x14ac:dyDescent="0.35">
      <c r="A77" s="629">
        <v>10</v>
      </c>
      <c r="B77" s="740">
        <f>MAX('Cost data'!$C$47,'Cost data'!A77/38*'Income data'!$H$5)</f>
        <v>35</v>
      </c>
      <c r="C77" s="284">
        <f>MAX('Cost data'!$C$47,'Cost data'!A77/76*'Income data'!$H$6)</f>
        <v>35</v>
      </c>
      <c r="D77" s="741">
        <f>MAX('Cost data'!$C$47,'Cost data'!A77/60*'Income data'!$H$7)</f>
        <v>35</v>
      </c>
      <c r="E77" s="742">
        <f t="shared" si="0"/>
        <v>35</v>
      </c>
      <c r="F77" s="271"/>
      <c r="G77" s="288"/>
    </row>
    <row r="78" spans="1:7" ht="15.5" x14ac:dyDescent="0.35">
      <c r="A78" s="629">
        <v>11</v>
      </c>
      <c r="B78" s="740">
        <f>MAX('Cost data'!$C$47,'Cost data'!A78/38*'Income data'!$H$5)</f>
        <v>35</v>
      </c>
      <c r="C78" s="284">
        <f>MAX('Cost data'!$C$47,'Cost data'!A78/76*'Income data'!$H$6)</f>
        <v>35</v>
      </c>
      <c r="D78" s="741">
        <f>MAX('Cost data'!$C$47,'Cost data'!A78/60*'Income data'!$H$7)</f>
        <v>35</v>
      </c>
      <c r="E78" s="742">
        <f t="shared" si="0"/>
        <v>35</v>
      </c>
      <c r="F78" s="271"/>
      <c r="G78" s="288"/>
    </row>
    <row r="79" spans="1:7" ht="15.5" x14ac:dyDescent="0.35">
      <c r="A79" s="629">
        <v>12</v>
      </c>
      <c r="B79" s="740">
        <f>MAX('Cost data'!$C$47,'Cost data'!A79/38*'Income data'!$H$5)</f>
        <v>35</v>
      </c>
      <c r="C79" s="284">
        <f>MAX('Cost data'!$C$47,'Cost data'!A79/76*'Income data'!$H$6)</f>
        <v>35</v>
      </c>
      <c r="D79" s="741">
        <f>MAX('Cost data'!$C$47,'Cost data'!A79/60*'Income data'!$H$7)</f>
        <v>35</v>
      </c>
      <c r="E79" s="742">
        <f t="shared" si="0"/>
        <v>35</v>
      </c>
      <c r="F79" s="271"/>
      <c r="G79" s="288"/>
    </row>
    <row r="80" spans="1:7" ht="15.5" x14ac:dyDescent="0.35">
      <c r="A80" s="629">
        <v>13</v>
      </c>
      <c r="B80" s="740">
        <f>MAX('Cost data'!$C$47,'Cost data'!A80/38*'Income data'!$H$5)</f>
        <v>35</v>
      </c>
      <c r="C80" s="284">
        <f>MAX('Cost data'!$C$47,'Cost data'!A80/76*'Income data'!$H$6)</f>
        <v>35</v>
      </c>
      <c r="D80" s="741">
        <f>MAX('Cost data'!$C$47,'Cost data'!A80/60*'Income data'!$H$7)</f>
        <v>35</v>
      </c>
      <c r="E80" s="742">
        <f t="shared" si="0"/>
        <v>35</v>
      </c>
      <c r="F80" s="271"/>
      <c r="G80" s="288"/>
    </row>
    <row r="81" spans="1:7" ht="15.5" x14ac:dyDescent="0.35">
      <c r="A81" s="629">
        <v>14</v>
      </c>
      <c r="B81" s="740">
        <f>MAX('Cost data'!$C$47,'Cost data'!A81/38*'Income data'!$H$5)</f>
        <v>35</v>
      </c>
      <c r="C81" s="284">
        <f>MAX('Cost data'!$C$47,'Cost data'!A81/76*'Income data'!$H$6)</f>
        <v>35</v>
      </c>
      <c r="D81" s="741">
        <f>MAX('Cost data'!$C$47,'Cost data'!A81/60*'Income data'!$H$7)</f>
        <v>35</v>
      </c>
      <c r="E81" s="742">
        <f t="shared" si="0"/>
        <v>35</v>
      </c>
      <c r="F81" s="271"/>
      <c r="G81" s="288"/>
    </row>
    <row r="82" spans="1:7" ht="15.5" x14ac:dyDescent="0.35">
      <c r="A82" s="629">
        <v>15</v>
      </c>
      <c r="B82" s="740">
        <f>MAX('Cost data'!$C$47,'Cost data'!A82/38*'Income data'!$H$5)</f>
        <v>35</v>
      </c>
      <c r="C82" s="284">
        <f>MAX('Cost data'!$C$47,'Cost data'!A82/76*'Income data'!$H$6)</f>
        <v>35</v>
      </c>
      <c r="D82" s="741">
        <f>MAX('Cost data'!$C$47,'Cost data'!A82/60*'Income data'!$H$7)</f>
        <v>35</v>
      </c>
      <c r="E82" s="742">
        <f t="shared" si="0"/>
        <v>35</v>
      </c>
      <c r="F82" s="271"/>
      <c r="G82" s="288"/>
    </row>
    <row r="83" spans="1:7" ht="15.5" x14ac:dyDescent="0.35">
      <c r="A83" s="629">
        <v>16</v>
      </c>
      <c r="B83" s="740">
        <f>MAX('Cost data'!$C$47,'Cost data'!A83/38*'Income data'!$H$5)</f>
        <v>35</v>
      </c>
      <c r="C83" s="284">
        <f>MAX('Cost data'!$C$47,'Cost data'!A83/76*'Income data'!$H$6)</f>
        <v>35</v>
      </c>
      <c r="D83" s="741">
        <f>MAX('Cost data'!$C$47,'Cost data'!A83/60*'Income data'!$H$7)</f>
        <v>35</v>
      </c>
      <c r="E83" s="742">
        <f t="shared" si="0"/>
        <v>35</v>
      </c>
      <c r="F83" s="271"/>
      <c r="G83" s="288"/>
    </row>
    <row r="84" spans="1:7" ht="15.5" x14ac:dyDescent="0.35">
      <c r="A84" s="629">
        <v>17</v>
      </c>
      <c r="B84" s="740">
        <f>MAX('Cost data'!$C$47,'Cost data'!A84/38*'Income data'!$H$5)</f>
        <v>36.909572368421053</v>
      </c>
      <c r="C84" s="284">
        <f>MAX('Cost data'!$C$47,'Cost data'!A84/76*'Income data'!$H$6)</f>
        <v>35</v>
      </c>
      <c r="D84" s="741">
        <f>MAX('Cost data'!$C$47,'Cost data'!A84/60*'Income data'!$H$7)</f>
        <v>35</v>
      </c>
      <c r="E84" s="742">
        <f t="shared" si="0"/>
        <v>35</v>
      </c>
      <c r="F84" s="271"/>
      <c r="G84" s="288"/>
    </row>
    <row r="85" spans="1:7" ht="15.5" x14ac:dyDescent="0.35">
      <c r="A85" s="629">
        <v>18</v>
      </c>
      <c r="B85" s="740">
        <f>MAX('Cost data'!$C$47,'Cost data'!A85/38*'Income data'!$H$5)</f>
        <v>39.080723684210525</v>
      </c>
      <c r="C85" s="284">
        <f>MAX('Cost data'!$C$47,'Cost data'!A85/76*'Income data'!$H$6)</f>
        <v>35</v>
      </c>
      <c r="D85" s="741">
        <f>MAX('Cost data'!$C$47,'Cost data'!A85/60*'Income data'!$H$7)</f>
        <v>35</v>
      </c>
      <c r="E85" s="742">
        <f t="shared" si="0"/>
        <v>35</v>
      </c>
      <c r="F85" s="271"/>
      <c r="G85" s="288"/>
    </row>
    <row r="86" spans="1:7" ht="15.5" x14ac:dyDescent="0.35">
      <c r="A86" s="629">
        <v>19</v>
      </c>
      <c r="B86" s="740">
        <f>MAX('Cost data'!$C$47,'Cost data'!A86/38*'Income data'!$H$5)</f>
        <v>41.251874999999998</v>
      </c>
      <c r="C86" s="284">
        <f>MAX('Cost data'!$C$47,'Cost data'!A86/76*'Income data'!$H$6)</f>
        <v>35</v>
      </c>
      <c r="D86" s="741">
        <f>MAX('Cost data'!$C$47,'Cost data'!A86/60*'Income data'!$H$7)</f>
        <v>35</v>
      </c>
      <c r="E86" s="742">
        <f t="shared" si="0"/>
        <v>35</v>
      </c>
      <c r="F86" s="271"/>
      <c r="G86" s="288"/>
    </row>
    <row r="87" spans="1:7" ht="15.5" x14ac:dyDescent="0.35">
      <c r="A87" s="629">
        <v>20</v>
      </c>
      <c r="B87" s="740">
        <f>MAX('Cost data'!$C$47,'Cost data'!A87/38*'Income data'!$H$5)</f>
        <v>43.423026315789471</v>
      </c>
      <c r="C87" s="284">
        <f>MAX('Cost data'!$C$47,'Cost data'!A87/76*'Income data'!$H$6)</f>
        <v>35</v>
      </c>
      <c r="D87" s="741">
        <f>MAX('Cost data'!$C$47,'Cost data'!A87/60*'Income data'!$H$7)</f>
        <v>35</v>
      </c>
      <c r="E87" s="742">
        <f t="shared" si="0"/>
        <v>35</v>
      </c>
      <c r="F87" s="271"/>
      <c r="G87" s="288"/>
    </row>
    <row r="88" spans="1:7" ht="15.5" x14ac:dyDescent="0.35">
      <c r="A88" s="629">
        <v>21</v>
      </c>
      <c r="B88" s="740">
        <f>MAX('Cost data'!$C$47,'Cost data'!A88/38*'Income data'!$H$5)</f>
        <v>45.594177631578951</v>
      </c>
      <c r="C88" s="284">
        <f>MAX('Cost data'!$C$47,'Cost data'!A88/76*'Income data'!$H$6)</f>
        <v>35</v>
      </c>
      <c r="D88" s="741">
        <f>MAX('Cost data'!$C$47,'Cost data'!A88/60*'Income data'!$H$7)</f>
        <v>35</v>
      </c>
      <c r="E88" s="742">
        <f t="shared" si="0"/>
        <v>35</v>
      </c>
      <c r="F88" s="271"/>
      <c r="G88" s="288"/>
    </row>
    <row r="89" spans="1:7" ht="15.5" x14ac:dyDescent="0.35">
      <c r="A89" s="629">
        <v>22</v>
      </c>
      <c r="B89" s="740">
        <f>MAX('Cost data'!$C$47,'Cost data'!A89/38*'Income data'!$H$5)</f>
        <v>47.765328947368424</v>
      </c>
      <c r="C89" s="284">
        <f>MAX('Cost data'!$C$47,'Cost data'!A89/76*'Income data'!$H$6)</f>
        <v>35</v>
      </c>
      <c r="D89" s="741">
        <f>MAX('Cost data'!$C$47,'Cost data'!A89/60*'Income data'!$H$7)</f>
        <v>35</v>
      </c>
      <c r="E89" s="742">
        <f t="shared" si="0"/>
        <v>35</v>
      </c>
      <c r="F89" s="271"/>
      <c r="G89" s="288"/>
    </row>
    <row r="90" spans="1:7" ht="15.5" x14ac:dyDescent="0.35">
      <c r="A90" s="629">
        <v>23</v>
      </c>
      <c r="B90" s="740">
        <f>MAX('Cost data'!$C$47,'Cost data'!A90/38*'Income data'!$H$5)</f>
        <v>49.93648026315789</v>
      </c>
      <c r="C90" s="284">
        <f>MAX('Cost data'!$C$47,'Cost data'!A90/76*'Income data'!$H$6)</f>
        <v>35</v>
      </c>
      <c r="D90" s="741">
        <f>MAX('Cost data'!$C$47,'Cost data'!A90/60*'Income data'!$H$7)</f>
        <v>35</v>
      </c>
      <c r="E90" s="742">
        <f t="shared" si="0"/>
        <v>35</v>
      </c>
      <c r="F90" s="271"/>
      <c r="G90" s="288"/>
    </row>
    <row r="91" spans="1:7" ht="15.5" x14ac:dyDescent="0.35">
      <c r="A91" s="629">
        <v>24</v>
      </c>
      <c r="B91" s="740">
        <f>MAX('Cost data'!$C$47,'Cost data'!A91/38*'Income data'!$H$5)</f>
        <v>52.107631578947363</v>
      </c>
      <c r="C91" s="284">
        <f>MAX('Cost data'!$C$47,'Cost data'!A91/76*'Income data'!$H$6)</f>
        <v>35</v>
      </c>
      <c r="D91" s="741">
        <f>MAX('Cost data'!$C$47,'Cost data'!A91/60*'Income data'!$H$7)</f>
        <v>35.427</v>
      </c>
      <c r="E91" s="742">
        <f t="shared" si="0"/>
        <v>35</v>
      </c>
      <c r="F91" s="271"/>
      <c r="G91" s="288"/>
    </row>
    <row r="92" spans="1:7" ht="15.5" x14ac:dyDescent="0.35">
      <c r="A92" s="629">
        <v>25</v>
      </c>
      <c r="B92" s="740">
        <f>MAX('Cost data'!$C$47,'Cost data'!A92/38*'Income data'!$H$5)</f>
        <v>54.278782894736842</v>
      </c>
      <c r="C92" s="284">
        <f>MAX('Cost data'!$C$47,'Cost data'!A92/76*'Income data'!$H$6)</f>
        <v>35</v>
      </c>
      <c r="D92" s="741">
        <f>MAX('Cost data'!$C$47,'Cost data'!A92/60*'Income data'!$H$7)</f>
        <v>36.903125000000003</v>
      </c>
      <c r="E92" s="742">
        <f t="shared" si="0"/>
        <v>35</v>
      </c>
      <c r="F92" s="271"/>
      <c r="G92" s="288"/>
    </row>
    <row r="93" spans="1:7" ht="15.5" x14ac:dyDescent="0.35">
      <c r="A93" s="629">
        <v>26</v>
      </c>
      <c r="B93" s="740">
        <f>MAX('Cost data'!$C$47,'Cost data'!A93/38*'Income data'!$H$5)</f>
        <v>56.449934210526315</v>
      </c>
      <c r="C93" s="284">
        <f>MAX('Cost data'!$C$47,'Cost data'!A93/76*'Income data'!$H$6)</f>
        <v>35</v>
      </c>
      <c r="D93" s="741">
        <f>MAX('Cost data'!$C$47,'Cost data'!A93/60*'Income data'!$H$7)</f>
        <v>38.379249999999999</v>
      </c>
      <c r="E93" s="742">
        <f t="shared" si="0"/>
        <v>35</v>
      </c>
      <c r="F93" s="271"/>
      <c r="G93" s="288"/>
    </row>
    <row r="94" spans="1:7" ht="15.5" x14ac:dyDescent="0.35">
      <c r="A94" s="629">
        <v>27</v>
      </c>
      <c r="B94" s="740">
        <f>MAX('Cost data'!$C$47,'Cost data'!A94/38*'Income data'!$H$5)</f>
        <v>58.621085526315788</v>
      </c>
      <c r="C94" s="284">
        <f>MAX('Cost data'!$C$47,'Cost data'!A94/76*'Income data'!$H$6)</f>
        <v>35</v>
      </c>
      <c r="D94" s="741">
        <f>MAX('Cost data'!$C$47,'Cost data'!A94/60*'Income data'!$H$7)</f>
        <v>39.855375000000002</v>
      </c>
      <c r="E94" s="742">
        <f t="shared" si="0"/>
        <v>35</v>
      </c>
      <c r="F94" s="271"/>
      <c r="G94" s="288"/>
    </row>
    <row r="95" spans="1:7" ht="15.5" x14ac:dyDescent="0.35">
      <c r="A95" s="629">
        <v>28</v>
      </c>
      <c r="B95" s="740">
        <f>MAX('Cost data'!$C$47,'Cost data'!A95/38*'Income data'!$H$5)</f>
        <v>60.792236842105254</v>
      </c>
      <c r="C95" s="284">
        <f>MAX('Cost data'!$C$47,'Cost data'!A95/76*'Income data'!$H$6)</f>
        <v>35</v>
      </c>
      <c r="D95" s="741">
        <f>MAX('Cost data'!$C$47,'Cost data'!A95/60*'Income data'!$H$7)</f>
        <v>41.331499999999998</v>
      </c>
      <c r="E95" s="742">
        <f t="shared" si="0"/>
        <v>35</v>
      </c>
      <c r="F95" s="271"/>
      <c r="G95" s="288"/>
    </row>
    <row r="96" spans="1:7" ht="15.5" x14ac:dyDescent="0.35">
      <c r="A96" s="629">
        <v>29</v>
      </c>
      <c r="B96" s="740">
        <f>MAX('Cost data'!$C$47,'Cost data'!A96/38*'Income data'!$H$5)</f>
        <v>62.963388157894741</v>
      </c>
      <c r="C96" s="284">
        <f>MAX('Cost data'!$C$47,'Cost data'!A96/76*'Income data'!$H$6)</f>
        <v>35</v>
      </c>
      <c r="D96" s="741">
        <f>MAX('Cost data'!$C$47,'Cost data'!A96/60*'Income data'!$H$7)</f>
        <v>42.807625000000002</v>
      </c>
      <c r="E96" s="742">
        <f t="shared" si="0"/>
        <v>35</v>
      </c>
      <c r="F96" s="271"/>
      <c r="G96" s="288"/>
    </row>
    <row r="97" spans="1:7" ht="15.5" x14ac:dyDescent="0.35">
      <c r="A97" s="629">
        <v>30</v>
      </c>
      <c r="B97" s="740">
        <f>MAX('Cost data'!$C$47,'Cost data'!A97/38*'Income data'!$H$5)</f>
        <v>65.134539473684214</v>
      </c>
      <c r="C97" s="284">
        <f>MAX('Cost data'!$C$47,'Cost data'!A97/76*'Income data'!$H$6)</f>
        <v>35</v>
      </c>
      <c r="D97" s="741">
        <f>MAX('Cost data'!$C$47,'Cost data'!A97/60*'Income data'!$H$7)</f>
        <v>44.283749999999998</v>
      </c>
      <c r="E97" s="742">
        <f t="shared" si="0"/>
        <v>35</v>
      </c>
      <c r="F97" s="271"/>
      <c r="G97" s="288"/>
    </row>
    <row r="98" spans="1:7" ht="15.5" x14ac:dyDescent="0.35">
      <c r="A98" s="629">
        <v>31</v>
      </c>
      <c r="B98" s="740">
        <f>MAX('Cost data'!$C$47,'Cost data'!A98/38*'Income data'!$H$5)</f>
        <v>67.305690789473687</v>
      </c>
      <c r="C98" s="284">
        <f>MAX('Cost data'!$C$47,'Cost data'!A98/76*'Income data'!$H$6)</f>
        <v>35</v>
      </c>
      <c r="D98" s="741">
        <f>MAX('Cost data'!$C$47,'Cost data'!A98/60*'Income data'!$H$7)</f>
        <v>45.759875000000001</v>
      </c>
      <c r="E98" s="742">
        <f t="shared" si="0"/>
        <v>35</v>
      </c>
      <c r="F98" s="271"/>
      <c r="G98" s="288"/>
    </row>
    <row r="99" spans="1:7" ht="15.5" x14ac:dyDescent="0.35">
      <c r="A99" s="629">
        <v>32</v>
      </c>
      <c r="B99" s="740">
        <f>MAX('Cost data'!$C$47,'Cost data'!A99/38*'Income data'!$H$5)</f>
        <v>69.476842105263145</v>
      </c>
      <c r="C99" s="284">
        <f>MAX('Cost data'!$C$47,'Cost data'!A99/76*'Income data'!$H$6)</f>
        <v>35</v>
      </c>
      <c r="D99" s="741">
        <f>MAX('Cost data'!$C$47,'Cost data'!A99/60*'Income data'!$H$7)</f>
        <v>47.235999999999997</v>
      </c>
      <c r="E99" s="742">
        <f t="shared" si="0"/>
        <v>35</v>
      </c>
      <c r="F99" s="271"/>
      <c r="G99" s="288"/>
    </row>
    <row r="100" spans="1:7" ht="15.5" x14ac:dyDescent="0.35">
      <c r="A100" s="629">
        <v>33</v>
      </c>
      <c r="B100" s="740">
        <f>MAX('Cost data'!$C$47,'Cost data'!A100/38*'Income data'!$H$5)</f>
        <v>71.647993421052632</v>
      </c>
      <c r="C100" s="284">
        <f>MAX('Cost data'!$C$47,'Cost data'!A100/76*'Income data'!$H$6)</f>
        <v>35</v>
      </c>
      <c r="D100" s="741">
        <f>MAX('Cost data'!$C$47,'Cost data'!A100/60*'Income data'!$H$7)</f>
        <v>48.712125</v>
      </c>
      <c r="E100" s="742">
        <f t="shared" si="0"/>
        <v>35</v>
      </c>
      <c r="F100" s="271"/>
      <c r="G100" s="288"/>
    </row>
    <row r="101" spans="1:7" ht="15.5" x14ac:dyDescent="0.35">
      <c r="A101" s="629">
        <v>34</v>
      </c>
      <c r="B101" s="740">
        <f>MAX('Cost data'!$C$47,'Cost data'!A101/38*'Income data'!$H$5)</f>
        <v>73.819144736842105</v>
      </c>
      <c r="C101" s="284">
        <f>MAX('Cost data'!$C$47,'Cost data'!A101/76*'Income data'!$H$6)</f>
        <v>35</v>
      </c>
      <c r="D101" s="741">
        <f>MAX('Cost data'!$C$47,'Cost data'!A101/60*'Income data'!$H$7)</f>
        <v>50.188249999999996</v>
      </c>
      <c r="E101" s="742">
        <f t="shared" si="0"/>
        <v>35</v>
      </c>
      <c r="F101" s="271"/>
      <c r="G101" s="288"/>
    </row>
    <row r="102" spans="1:7" ht="15.5" x14ac:dyDescent="0.35">
      <c r="A102" s="629">
        <v>35</v>
      </c>
      <c r="B102" s="740">
        <f>MAX('Cost data'!$C$47,'Cost data'!A102/38*'Income data'!$H$5)</f>
        <v>75.990296052631578</v>
      </c>
      <c r="C102" s="284">
        <f>MAX('Cost data'!$C$47,'Cost data'!A102/76*'Income data'!$H$6)</f>
        <v>35</v>
      </c>
      <c r="D102" s="741">
        <f>MAX('Cost data'!$C$47,'Cost data'!A102/60*'Income data'!$H$7)</f>
        <v>51.664375</v>
      </c>
      <c r="E102" s="742">
        <f t="shared" si="0"/>
        <v>35</v>
      </c>
      <c r="F102" s="271"/>
      <c r="G102" s="288"/>
    </row>
    <row r="103" spans="1:7" ht="15.5" x14ac:dyDescent="0.35">
      <c r="A103" s="629">
        <v>36</v>
      </c>
      <c r="B103" s="740">
        <f>MAX('Cost data'!$C$47,'Cost data'!A103/38*'Income data'!$H$5)</f>
        <v>78.161447368421051</v>
      </c>
      <c r="C103" s="284">
        <f>MAX('Cost data'!$C$47,'Cost data'!A103/76*'Income data'!$H$6)</f>
        <v>35</v>
      </c>
      <c r="D103" s="741">
        <f>MAX('Cost data'!$C$47,'Cost data'!A103/60*'Income data'!$H$7)</f>
        <v>53.140499999999996</v>
      </c>
      <c r="E103" s="742">
        <f t="shared" si="0"/>
        <v>35</v>
      </c>
      <c r="F103" s="271"/>
      <c r="G103" s="288"/>
    </row>
    <row r="104" spans="1:7" ht="15.5" x14ac:dyDescent="0.35">
      <c r="A104" s="629">
        <v>37</v>
      </c>
      <c r="B104" s="740">
        <f>MAX('Cost data'!$C$47,'Cost data'!A104/38*'Income data'!$H$5)</f>
        <v>80.332598684210524</v>
      </c>
      <c r="C104" s="284">
        <f>MAX('Cost data'!$C$47,'Cost data'!A104/76*'Income data'!$H$6)</f>
        <v>35</v>
      </c>
      <c r="D104" s="741">
        <f>MAX('Cost data'!$C$47,'Cost data'!A104/60*'Income data'!$H$7)</f>
        <v>54.616624999999999</v>
      </c>
      <c r="E104" s="742">
        <f t="shared" si="0"/>
        <v>35</v>
      </c>
      <c r="F104" s="271"/>
      <c r="G104" s="288"/>
    </row>
    <row r="105" spans="1:7" ht="15.5" x14ac:dyDescent="0.35">
      <c r="A105" s="629">
        <v>38</v>
      </c>
      <c r="B105" s="740">
        <f>MAX('Cost data'!$C$47,'Cost data'!A105/38*'Income data'!$H$5)</f>
        <v>82.503749999999997</v>
      </c>
      <c r="C105" s="284">
        <f>MAX('Cost data'!$C$47,'Cost data'!A105/76*'Income data'!$H$6)</f>
        <v>35</v>
      </c>
      <c r="D105" s="741">
        <f>MAX('Cost data'!$C$47,'Cost data'!A105/60*'Income data'!$H$7)</f>
        <v>56.092749999999995</v>
      </c>
      <c r="E105" s="742">
        <f t="shared" si="0"/>
        <v>35</v>
      </c>
      <c r="F105" s="271"/>
      <c r="G105" s="288"/>
    </row>
    <row r="106" spans="1:7" ht="15.5" x14ac:dyDescent="0.35">
      <c r="A106" s="629">
        <v>39</v>
      </c>
      <c r="B106" s="740">
        <f>MAX('Cost data'!$C$47,('Cost data'!A106-38)/38*'Income data'!$H$5)</f>
        <v>35</v>
      </c>
      <c r="C106" s="284">
        <f>MAX('Cost data'!$C$47,'Cost data'!A106/76*'Income data'!$H$6)</f>
        <v>35</v>
      </c>
      <c r="D106" s="741">
        <f>MAX('Cost data'!$C$47,'Cost data'!A106/60*'Income data'!$H$7)</f>
        <v>57.568874999999998</v>
      </c>
      <c r="E106" s="742">
        <f t="shared" si="0"/>
        <v>35</v>
      </c>
      <c r="F106" s="271"/>
      <c r="G106" s="288"/>
    </row>
    <row r="107" spans="1:7" ht="15.5" x14ac:dyDescent="0.35">
      <c r="A107" s="629">
        <v>40</v>
      </c>
      <c r="B107" s="740">
        <f>MAX('Cost data'!$C$47,('Cost data'!A107-38)/38*'Income data'!$H$5)</f>
        <v>35</v>
      </c>
      <c r="C107" s="284">
        <f>MAX('Cost data'!$C$47,'Cost data'!A107/76*'Income data'!$H$6)</f>
        <v>35</v>
      </c>
      <c r="D107" s="741">
        <f>MAX('Cost data'!$C$47,'Cost data'!A107/60*'Income data'!$H$7)</f>
        <v>59.044999999999995</v>
      </c>
      <c r="E107" s="742">
        <f t="shared" si="0"/>
        <v>35</v>
      </c>
      <c r="F107" s="271"/>
      <c r="G107" s="288"/>
    </row>
    <row r="108" spans="1:7" ht="15.5" x14ac:dyDescent="0.35">
      <c r="A108" s="629">
        <v>41</v>
      </c>
      <c r="B108" s="740">
        <f>MAX('Cost data'!$C$47,('Cost data'!A108-38)/38*'Income data'!$H$5)</f>
        <v>35</v>
      </c>
      <c r="C108" s="284">
        <f>MAX('Cost data'!$C$47,'Cost data'!A108/76*'Income data'!$H$6)</f>
        <v>35</v>
      </c>
      <c r="D108" s="741">
        <f>MAX('Cost data'!$C$47,'Cost data'!A108/60*'Income data'!$H$7)</f>
        <v>60.521124999999998</v>
      </c>
      <c r="E108" s="742">
        <f t="shared" si="0"/>
        <v>35</v>
      </c>
      <c r="F108" s="271"/>
      <c r="G108" s="288"/>
    </row>
    <row r="109" spans="1:7" ht="15.5" x14ac:dyDescent="0.35">
      <c r="A109" s="629">
        <v>42</v>
      </c>
      <c r="B109" s="740">
        <f>MAX('Cost data'!$C$47,('Cost data'!A109-38)/38*'Income data'!$H$5)</f>
        <v>35</v>
      </c>
      <c r="C109" s="284">
        <f>MAX('Cost data'!$C$47,'Cost data'!A109/76*'Income data'!$H$6)</f>
        <v>35</v>
      </c>
      <c r="D109" s="741">
        <f>MAX('Cost data'!$C$47,'Cost data'!A109/60*'Income data'!$H$7)</f>
        <v>61.997249999999994</v>
      </c>
      <c r="E109" s="742">
        <f t="shared" si="0"/>
        <v>35</v>
      </c>
      <c r="F109" s="271"/>
      <c r="G109" s="288"/>
    </row>
    <row r="110" spans="1:7" ht="15.5" x14ac:dyDescent="0.35">
      <c r="A110" s="629">
        <v>43</v>
      </c>
      <c r="B110" s="740">
        <f>MAX('Cost data'!$C$47,('Cost data'!A110-38)/38*'Income data'!$H$5)</f>
        <v>35</v>
      </c>
      <c r="C110" s="284">
        <f>MAX('Cost data'!$C$47,'Cost data'!A110/76*'Income data'!$H$6)</f>
        <v>35</v>
      </c>
      <c r="D110" s="741">
        <f>MAX('Cost data'!$C$47,'Cost data'!A110/60*'Income data'!$H$7)</f>
        <v>63.473374999999997</v>
      </c>
      <c r="E110" s="742">
        <f t="shared" si="0"/>
        <v>35</v>
      </c>
      <c r="F110" s="271"/>
      <c r="G110" s="288"/>
    </row>
    <row r="111" spans="1:7" ht="15.5" x14ac:dyDescent="0.35">
      <c r="A111" s="629">
        <v>44</v>
      </c>
      <c r="B111" s="740">
        <f>MAX('Cost data'!$C$47,('Cost data'!A111-38)/38*'Income data'!$H$5)</f>
        <v>35</v>
      </c>
      <c r="C111" s="284">
        <f>MAX('Cost data'!$C$47,'Cost data'!A111/76*'Income data'!$H$6)</f>
        <v>35</v>
      </c>
      <c r="D111" s="741">
        <f>MAX('Cost data'!$C$47,'Cost data'!A111/60*'Income data'!$H$7)</f>
        <v>64.949499999999986</v>
      </c>
      <c r="E111" s="742">
        <f t="shared" si="0"/>
        <v>35</v>
      </c>
      <c r="F111" s="271"/>
      <c r="G111" s="288"/>
    </row>
    <row r="112" spans="1:7" ht="15.5" x14ac:dyDescent="0.35">
      <c r="A112" s="629">
        <v>45</v>
      </c>
      <c r="B112" s="740">
        <f>MAX('Cost data'!$C$47,('Cost data'!A112-38)/38*'Income data'!$H$5)</f>
        <v>35</v>
      </c>
      <c r="C112" s="284">
        <f>MAX('Cost data'!$C$47,'Cost data'!A112/76*'Income data'!$H$6)</f>
        <v>35</v>
      </c>
      <c r="D112" s="741">
        <f>MAX('Cost data'!$C$47,'Cost data'!A112/60*'Income data'!$H$7)</f>
        <v>66.425624999999997</v>
      </c>
      <c r="E112" s="742">
        <f t="shared" si="0"/>
        <v>35</v>
      </c>
      <c r="F112" s="271"/>
      <c r="G112" s="288"/>
    </row>
    <row r="113" spans="1:7" ht="15.5" x14ac:dyDescent="0.35">
      <c r="A113" s="629">
        <v>46</v>
      </c>
      <c r="B113" s="740">
        <f>MAX('Cost data'!$C$47,('Cost data'!A113-38)/38*'Income data'!$H$5)</f>
        <v>35</v>
      </c>
      <c r="C113" s="284">
        <f>MAX('Cost data'!$C$47,'Cost data'!A113/76*'Income data'!$H$6)</f>
        <v>35</v>
      </c>
      <c r="D113" s="741">
        <f>MAX('Cost data'!$C$47,'Cost data'!A113/60*'Income data'!$H$7)</f>
        <v>67.901750000000007</v>
      </c>
      <c r="E113" s="742">
        <f t="shared" si="0"/>
        <v>35</v>
      </c>
      <c r="F113" s="271"/>
      <c r="G113" s="288"/>
    </row>
    <row r="114" spans="1:7" ht="15.5" x14ac:dyDescent="0.35">
      <c r="A114" s="629">
        <v>47</v>
      </c>
      <c r="B114" s="740">
        <f>MAX('Cost data'!$C$47,('Cost data'!A114-38)/38*'Income data'!$H$5)</f>
        <v>35</v>
      </c>
      <c r="C114" s="284">
        <f>MAX('Cost data'!$C$47,'Cost data'!A114/76*'Income data'!$H$6)</f>
        <v>35.226809210526319</v>
      </c>
      <c r="D114" s="741">
        <f>MAX('Cost data'!$C$47,'Cost data'!A114/60*'Income data'!$H$7)</f>
        <v>69.377874999999989</v>
      </c>
      <c r="E114" s="742">
        <f t="shared" si="0"/>
        <v>35</v>
      </c>
      <c r="F114" s="271"/>
      <c r="G114" s="288"/>
    </row>
    <row r="115" spans="1:7" ht="15.5" x14ac:dyDescent="0.35">
      <c r="A115" s="629">
        <v>48</v>
      </c>
      <c r="B115" s="740">
        <f>MAX('Cost data'!$C$47,('Cost data'!A115-38)/38*'Income data'!$H$5)</f>
        <v>35</v>
      </c>
      <c r="C115" s="284">
        <f>MAX('Cost data'!$C$47,'Cost data'!A115/76*'Income data'!$H$6)</f>
        <v>35.976315789473681</v>
      </c>
      <c r="D115" s="741">
        <f>MAX('Cost data'!$C$47,'Cost data'!A115/60*'Income data'!$H$7)</f>
        <v>70.853999999999999</v>
      </c>
      <c r="E115" s="742">
        <f t="shared" si="0"/>
        <v>35</v>
      </c>
      <c r="F115" s="271"/>
      <c r="G115" s="288"/>
    </row>
    <row r="116" spans="1:7" ht="15.5" x14ac:dyDescent="0.35">
      <c r="A116" s="629">
        <v>49</v>
      </c>
      <c r="B116" s="740">
        <f>MAX('Cost data'!$C$47,('Cost data'!A116-38)/38*'Income data'!$H$5)</f>
        <v>35</v>
      </c>
      <c r="C116" s="284">
        <f>MAX('Cost data'!$C$47,'Cost data'!A116/76*'Income data'!$H$6)</f>
        <v>36.725822368421049</v>
      </c>
      <c r="D116" s="741">
        <f>MAX('Cost data'!$C$47,'Cost data'!A116/60*'Income data'!$H$7)</f>
        <v>72.330124999999995</v>
      </c>
      <c r="E116" s="742">
        <f t="shared" si="0"/>
        <v>35</v>
      </c>
      <c r="F116" s="271"/>
      <c r="G116" s="288"/>
    </row>
    <row r="117" spans="1:7" ht="15.5" x14ac:dyDescent="0.35">
      <c r="A117" s="629">
        <v>50</v>
      </c>
      <c r="B117" s="740">
        <f>MAX('Cost data'!$C$47,('Cost data'!A117-38)/38*'Income data'!$H$5)</f>
        <v>35</v>
      </c>
      <c r="C117" s="284">
        <f>MAX('Cost data'!$C$47,'Cost data'!A117/76*'Income data'!$H$6)</f>
        <v>37.475328947368425</v>
      </c>
      <c r="D117" s="741">
        <f>MAX('Cost data'!$C$47,'Cost data'!A117/60*'Income data'!$H$7)</f>
        <v>73.806250000000006</v>
      </c>
      <c r="E117" s="742">
        <f t="shared" si="0"/>
        <v>35</v>
      </c>
      <c r="F117" s="271"/>
      <c r="G117" s="288"/>
    </row>
    <row r="118" spans="1:7" ht="15.5" x14ac:dyDescent="0.35">
      <c r="A118" s="629">
        <v>51</v>
      </c>
      <c r="B118" s="740">
        <f>MAX('Cost data'!$C$47,('Cost data'!A118-38)/38*'Income data'!$H$5)</f>
        <v>35</v>
      </c>
      <c r="C118" s="284">
        <f>MAX('Cost data'!$C$47,'Cost data'!A118/76*'Income data'!$H$6)</f>
        <v>38.224835526315786</v>
      </c>
      <c r="D118" s="741">
        <f>MAX('Cost data'!$C$47,'Cost data'!A118/60*'Income data'!$H$7)</f>
        <v>75.282374999999988</v>
      </c>
      <c r="E118" s="742">
        <f t="shared" si="0"/>
        <v>35</v>
      </c>
      <c r="F118" s="271"/>
      <c r="G118" s="288"/>
    </row>
    <row r="119" spans="1:7" ht="15.5" x14ac:dyDescent="0.35">
      <c r="A119" s="629">
        <v>52</v>
      </c>
      <c r="B119" s="740">
        <f>MAX('Cost data'!$C$47,('Cost data'!A119-38)/38*'Income data'!$H$5)</f>
        <v>35</v>
      </c>
      <c r="C119" s="284">
        <f>MAX('Cost data'!$C$47,'Cost data'!A119/76*'Income data'!$H$6)</f>
        <v>38.974342105263155</v>
      </c>
      <c r="D119" s="741">
        <f>MAX('Cost data'!$C$47,'Cost data'!A119/60*'Income data'!$H$7)</f>
        <v>76.758499999999998</v>
      </c>
      <c r="E119" s="742">
        <f t="shared" si="0"/>
        <v>35</v>
      </c>
      <c r="F119" s="271"/>
      <c r="G119" s="288"/>
    </row>
    <row r="120" spans="1:7" ht="15.5" x14ac:dyDescent="0.35">
      <c r="A120" s="629">
        <v>53</v>
      </c>
      <c r="B120" s="740">
        <f>MAX('Cost data'!$C$47,('Cost data'!A120-38)/38*'Income data'!$H$5)</f>
        <v>35</v>
      </c>
      <c r="C120" s="284">
        <f>MAX('Cost data'!$C$47,'Cost data'!A120/76*'Income data'!$H$6)</f>
        <v>39.723848684210523</v>
      </c>
      <c r="D120" s="741">
        <f>MAX('Cost data'!$C$47,'Cost data'!A120/60*'Income data'!$H$7)</f>
        <v>78.234624999999994</v>
      </c>
      <c r="E120" s="742">
        <f t="shared" si="0"/>
        <v>35</v>
      </c>
      <c r="F120" s="271"/>
      <c r="G120" s="288"/>
    </row>
    <row r="121" spans="1:7" ht="15.5" x14ac:dyDescent="0.35">
      <c r="A121" s="629">
        <v>54</v>
      </c>
      <c r="B121" s="740">
        <f>MAX('Cost data'!$C$47,('Cost data'!A121-38)/38*'Income data'!$H$5)</f>
        <v>35</v>
      </c>
      <c r="C121" s="284">
        <f>MAX('Cost data'!$C$47,'Cost data'!A121/76*'Income data'!$H$6)</f>
        <v>40.473355263157892</v>
      </c>
      <c r="D121" s="741">
        <f>MAX('Cost data'!$C$47,'Cost data'!A121/60*'Income data'!$H$7)</f>
        <v>79.710750000000004</v>
      </c>
      <c r="E121" s="742">
        <f t="shared" si="0"/>
        <v>35</v>
      </c>
      <c r="F121" s="271"/>
      <c r="G121" s="288"/>
    </row>
    <row r="122" spans="1:7" ht="15.5" x14ac:dyDescent="0.35">
      <c r="A122" s="629">
        <v>55</v>
      </c>
      <c r="B122" s="740">
        <f>MAX('Cost data'!$C$47,('Cost data'!A122-38)/38*'Income data'!$H$5)</f>
        <v>36.909572368421053</v>
      </c>
      <c r="C122" s="284">
        <f>MAX('Cost data'!$C$47,'Cost data'!A122/76*'Income data'!$H$6)</f>
        <v>41.222861842105267</v>
      </c>
      <c r="D122" s="741">
        <f>MAX('Cost data'!$C$47,'Cost data'!A122/60*'Income data'!$H$7)</f>
        <v>81.186874999999986</v>
      </c>
      <c r="E122" s="742">
        <f t="shared" si="0"/>
        <v>35</v>
      </c>
      <c r="F122" s="271"/>
      <c r="G122" s="288"/>
    </row>
    <row r="123" spans="1:7" ht="15.5" x14ac:dyDescent="0.35">
      <c r="A123" s="629">
        <v>56</v>
      </c>
      <c r="B123" s="740">
        <f>MAX('Cost data'!$C$47,('Cost data'!A123-38)/38*'Income data'!$H$5)</f>
        <v>39.080723684210525</v>
      </c>
      <c r="C123" s="284">
        <f>MAX('Cost data'!$C$47,'Cost data'!A123/76*'Income data'!$H$6)</f>
        <v>41.972368421052629</v>
      </c>
      <c r="D123" s="741">
        <f>MAX('Cost data'!$C$47,'Cost data'!A123/60*'Income data'!$H$7)</f>
        <v>82.662999999999997</v>
      </c>
      <c r="E123" s="742">
        <f t="shared" si="0"/>
        <v>35</v>
      </c>
      <c r="F123" s="271"/>
      <c r="G123" s="288"/>
    </row>
    <row r="124" spans="1:7" ht="15.5" x14ac:dyDescent="0.35">
      <c r="A124" s="629">
        <v>57</v>
      </c>
      <c r="B124" s="740">
        <f>MAX('Cost data'!$C$47,('Cost data'!A124-38)/38*'Income data'!$H$5)</f>
        <v>41.251874999999998</v>
      </c>
      <c r="C124" s="284">
        <f>MAX('Cost data'!$C$47,'Cost data'!A124/76*'Income data'!$H$6)</f>
        <v>42.721874999999997</v>
      </c>
      <c r="D124" s="741">
        <f>MAX('Cost data'!$C$47,'Cost data'!A124/60*'Income data'!$H$7)</f>
        <v>84.139124999999993</v>
      </c>
      <c r="E124" s="742">
        <f t="shared" si="0"/>
        <v>35</v>
      </c>
      <c r="F124" s="271"/>
      <c r="G124" s="288"/>
    </row>
    <row r="125" spans="1:7" ht="15.5" x14ac:dyDescent="0.35">
      <c r="A125" s="629">
        <v>58</v>
      </c>
      <c r="B125" s="740">
        <f>MAX('Cost data'!$C$47,('Cost data'!A125-38)/38*'Income data'!$H$5)</f>
        <v>43.423026315789471</v>
      </c>
      <c r="C125" s="284">
        <f>MAX('Cost data'!$C$47,'Cost data'!A125/76*'Income data'!$H$6)</f>
        <v>43.471381578947373</v>
      </c>
      <c r="D125" s="741">
        <f>MAX('Cost data'!$C$47,'Cost data'!A125/60*'Income data'!$H$7)</f>
        <v>85.615250000000003</v>
      </c>
      <c r="E125" s="742">
        <f t="shared" si="0"/>
        <v>35</v>
      </c>
      <c r="F125" s="271"/>
      <c r="G125" s="288"/>
    </row>
    <row r="126" spans="1:7" ht="15.5" x14ac:dyDescent="0.35">
      <c r="A126" s="629">
        <v>59</v>
      </c>
      <c r="B126" s="740">
        <f>MAX('Cost data'!$C$47,('Cost data'!A126-38)/38*'Income data'!$H$5)</f>
        <v>45.594177631578951</v>
      </c>
      <c r="C126" s="284">
        <f>MAX('Cost data'!$C$47,'Cost data'!A126/76*'Income data'!$H$6)</f>
        <v>44.220888157894734</v>
      </c>
      <c r="D126" s="741">
        <f>MAX('Cost data'!$C$47,'Cost data'!A126/60*'Income data'!$H$7)</f>
        <v>87.091374999999985</v>
      </c>
      <c r="E126" s="742">
        <f t="shared" si="0"/>
        <v>35</v>
      </c>
      <c r="F126" s="271"/>
      <c r="G126" s="288"/>
    </row>
    <row r="127" spans="1:7" ht="15.5" x14ac:dyDescent="0.35">
      <c r="A127" s="629">
        <v>60</v>
      </c>
      <c r="B127" s="740">
        <f>MAX('Cost data'!$C$47,('Cost data'!A127-38)/38*'Income data'!$H$5)</f>
        <v>47.765328947368424</v>
      </c>
      <c r="C127" s="284">
        <f>MAX('Cost data'!$C$47,'Cost data'!A127/76*'Income data'!$H$6)</f>
        <v>44.970394736842103</v>
      </c>
      <c r="D127" s="741">
        <f>MAX('Cost data'!$C$47,'Cost data'!A127/60*'Income data'!$H$7)</f>
        <v>88.567499999999995</v>
      </c>
      <c r="E127" s="742">
        <f t="shared" si="0"/>
        <v>35</v>
      </c>
      <c r="F127" s="271"/>
      <c r="G127" s="288"/>
    </row>
    <row r="128" spans="1:7" ht="15.5" x14ac:dyDescent="0.35">
      <c r="A128" s="629">
        <v>61</v>
      </c>
      <c r="B128" s="740">
        <f>MAX('Cost data'!$C$47,('Cost data'!A128-38)/38*'Income data'!$H$5)</f>
        <v>49.93648026315789</v>
      </c>
      <c r="C128" s="284">
        <f>MAX('Cost data'!$C$47,'Cost data'!A128/76*'Income data'!$H$6)</f>
        <v>45.719901315789478</v>
      </c>
      <c r="D128" s="741">
        <f>MAX('Cost data'!$C$47,('Cost data'!A128-60)/60*'Income data'!$H$7)</f>
        <v>35</v>
      </c>
      <c r="E128" s="742">
        <f t="shared" si="0"/>
        <v>35</v>
      </c>
      <c r="F128" s="271"/>
      <c r="G128" s="288"/>
    </row>
    <row r="129" spans="1:7" ht="15.5" x14ac:dyDescent="0.35">
      <c r="A129" s="629">
        <v>62</v>
      </c>
      <c r="B129" s="740">
        <f>MAX('Cost data'!$C$47,('Cost data'!A129-38)/38*'Income data'!$H$5)</f>
        <v>52.107631578947363</v>
      </c>
      <c r="C129" s="284">
        <f>MAX('Cost data'!$C$47,'Cost data'!A129/76*'Income data'!$H$6)</f>
        <v>46.46940789473684</v>
      </c>
      <c r="D129" s="741">
        <f>MAX('Cost data'!$C$47,('Cost data'!A129-60)/60*'Income data'!$H$7)</f>
        <v>35</v>
      </c>
      <c r="E129" s="742">
        <f t="shared" si="0"/>
        <v>35</v>
      </c>
      <c r="F129" s="271"/>
      <c r="G129" s="288"/>
    </row>
    <row r="130" spans="1:7" ht="15.5" x14ac:dyDescent="0.35">
      <c r="A130" s="629">
        <v>63</v>
      </c>
      <c r="B130" s="740">
        <f>MAX('Cost data'!$C$47,('Cost data'!A130-38)/38*'Income data'!$H$5)</f>
        <v>54.278782894736842</v>
      </c>
      <c r="C130" s="284">
        <f>MAX('Cost data'!$C$47,'Cost data'!A130/76*'Income data'!$H$6)</f>
        <v>47.218914473684208</v>
      </c>
      <c r="D130" s="741">
        <f>MAX('Cost data'!$C$47,('Cost data'!A130-60)/60*'Income data'!$H$7)</f>
        <v>35</v>
      </c>
      <c r="E130" s="742">
        <f t="shared" si="0"/>
        <v>35</v>
      </c>
      <c r="F130" s="271"/>
      <c r="G130" s="288"/>
    </row>
    <row r="131" spans="1:7" ht="15.5" x14ac:dyDescent="0.35">
      <c r="A131" s="629">
        <v>64</v>
      </c>
      <c r="B131" s="740">
        <f>MAX('Cost data'!$C$47,('Cost data'!A131-38)/38*'Income data'!$H$5)</f>
        <v>56.449934210526315</v>
      </c>
      <c r="C131" s="284">
        <f>MAX('Cost data'!$C$47,'Cost data'!A131/76*'Income data'!$H$6)</f>
        <v>47.968421052631577</v>
      </c>
      <c r="D131" s="741">
        <f>MAX('Cost data'!$C$47,('Cost data'!A131-60)/60*'Income data'!$H$7)</f>
        <v>35</v>
      </c>
      <c r="E131" s="742">
        <f t="shared" si="0"/>
        <v>35</v>
      </c>
      <c r="F131" s="271"/>
      <c r="G131" s="288"/>
    </row>
    <row r="132" spans="1:7" ht="15.5" x14ac:dyDescent="0.35">
      <c r="A132" s="629">
        <v>65</v>
      </c>
      <c r="B132" s="740">
        <f>MAX('Cost data'!$C$47,('Cost data'!A132-38)/38*'Income data'!$H$5)</f>
        <v>58.621085526315788</v>
      </c>
      <c r="C132" s="284">
        <f>MAX('Cost data'!$C$47,'Cost data'!A132/76*'Income data'!$H$6)</f>
        <v>48.717927631578945</v>
      </c>
      <c r="D132" s="741">
        <f>MAX('Cost data'!$C$47,('Cost data'!A132-60)/60*'Income data'!$H$7)</f>
        <v>35</v>
      </c>
      <c r="E132" s="742">
        <f t="shared" si="0"/>
        <v>35</v>
      </c>
      <c r="F132" s="271"/>
      <c r="G132" s="288"/>
    </row>
    <row r="133" spans="1:7" ht="15.5" x14ac:dyDescent="0.35">
      <c r="A133" s="629">
        <v>66</v>
      </c>
      <c r="B133" s="740">
        <f>MAX('Cost data'!$C$47,('Cost data'!A133-38)/38*'Income data'!$H$5)</f>
        <v>60.792236842105254</v>
      </c>
      <c r="C133" s="284">
        <f>MAX('Cost data'!$C$47,'Cost data'!A133/76*'Income data'!$H$6)</f>
        <v>49.467434210526314</v>
      </c>
      <c r="D133" s="741">
        <f>MAX('Cost data'!$C$47,('Cost data'!A133-60)/60*'Income data'!$H$7)</f>
        <v>35</v>
      </c>
      <c r="E133" s="742">
        <f t="shared" ref="E133:E167" si="1">$C$47</f>
        <v>35</v>
      </c>
      <c r="F133" s="271"/>
      <c r="G133" s="288"/>
    </row>
    <row r="134" spans="1:7" ht="15.5" x14ac:dyDescent="0.35">
      <c r="A134" s="629">
        <v>67</v>
      </c>
      <c r="B134" s="740">
        <f>MAX('Cost data'!$C$47,('Cost data'!A134-38)/38*'Income data'!$H$5)</f>
        <v>62.963388157894741</v>
      </c>
      <c r="C134" s="284">
        <f>MAX('Cost data'!$C$47,'Cost data'!A134/76*'Income data'!$H$6)</f>
        <v>50.216940789473682</v>
      </c>
      <c r="D134" s="741">
        <f>MAX('Cost data'!$C$47,('Cost data'!A134-60)/60*'Income data'!$H$7)</f>
        <v>35</v>
      </c>
      <c r="E134" s="742">
        <f t="shared" si="1"/>
        <v>35</v>
      </c>
      <c r="F134" s="271"/>
      <c r="G134" s="288"/>
    </row>
    <row r="135" spans="1:7" ht="15.5" x14ac:dyDescent="0.35">
      <c r="A135" s="629">
        <v>68</v>
      </c>
      <c r="B135" s="740">
        <f>MAX('Cost data'!$C$47,('Cost data'!A135-38)/38*'Income data'!$H$5)</f>
        <v>65.134539473684214</v>
      </c>
      <c r="C135" s="284">
        <f>MAX('Cost data'!$C$47,'Cost data'!A135/76*'Income data'!$H$6)</f>
        <v>50.966447368421051</v>
      </c>
      <c r="D135" s="741">
        <f>MAX('Cost data'!$C$47,('Cost data'!A135-60)/60*'Income data'!$H$7)</f>
        <v>35</v>
      </c>
      <c r="E135" s="742">
        <f t="shared" si="1"/>
        <v>35</v>
      </c>
      <c r="F135" s="271"/>
      <c r="G135" s="288"/>
    </row>
    <row r="136" spans="1:7" ht="15.5" x14ac:dyDescent="0.35">
      <c r="A136" s="629">
        <v>69</v>
      </c>
      <c r="B136" s="740">
        <f>MAX('Cost data'!$C$47,('Cost data'!A136-38)/38*'Income data'!$H$5)</f>
        <v>67.305690789473687</v>
      </c>
      <c r="C136" s="284">
        <f>MAX('Cost data'!$C$47,'Cost data'!A136/76*'Income data'!$H$6)</f>
        <v>51.715953947368419</v>
      </c>
      <c r="D136" s="741">
        <f>MAX('Cost data'!$C$47,('Cost data'!A136-60)/60*'Income data'!$H$7)</f>
        <v>35</v>
      </c>
      <c r="E136" s="742">
        <f t="shared" si="1"/>
        <v>35</v>
      </c>
      <c r="F136" s="271"/>
      <c r="G136" s="288"/>
    </row>
    <row r="137" spans="1:7" ht="15.5" x14ac:dyDescent="0.35">
      <c r="A137" s="629">
        <v>70</v>
      </c>
      <c r="B137" s="740">
        <f>MAX('Cost data'!$C$47,('Cost data'!A137-38)/38*'Income data'!$H$5)</f>
        <v>69.476842105263145</v>
      </c>
      <c r="C137" s="284">
        <f>MAX('Cost data'!$C$47,'Cost data'!A137/76*'Income data'!$H$6)</f>
        <v>52.465460526315788</v>
      </c>
      <c r="D137" s="741">
        <f>MAX('Cost data'!$C$47,('Cost data'!A137-60)/60*'Income data'!$H$7)</f>
        <v>35</v>
      </c>
      <c r="E137" s="742">
        <f t="shared" si="1"/>
        <v>35</v>
      </c>
      <c r="F137" s="271"/>
      <c r="G137" s="288"/>
    </row>
    <row r="138" spans="1:7" ht="15.5" x14ac:dyDescent="0.35">
      <c r="A138" s="629">
        <v>71</v>
      </c>
      <c r="B138" s="740">
        <f>MAX('Cost data'!$C$47,('Cost data'!A138-38)/38*'Income data'!$H$5)</f>
        <v>71.647993421052632</v>
      </c>
      <c r="C138" s="284">
        <f>MAX('Cost data'!$C$47,'Cost data'!A138/76*'Income data'!$H$6)</f>
        <v>53.214967105263156</v>
      </c>
      <c r="D138" s="741">
        <f>MAX('Cost data'!$C$47,('Cost data'!A138-60)/60*'Income data'!$H$7)</f>
        <v>35</v>
      </c>
      <c r="E138" s="742">
        <f t="shared" si="1"/>
        <v>35</v>
      </c>
      <c r="F138" s="271"/>
      <c r="G138" s="288"/>
    </row>
    <row r="139" spans="1:7" ht="15.5" x14ac:dyDescent="0.35">
      <c r="A139" s="629">
        <v>72</v>
      </c>
      <c r="B139" s="740">
        <f>MAX('Cost data'!$C$47,('Cost data'!A139-38)/38*'Income data'!$H$5)</f>
        <v>73.819144736842105</v>
      </c>
      <c r="C139" s="284">
        <f>MAX('Cost data'!$C$47,'Cost data'!A139/76*'Income data'!$H$6)</f>
        <v>53.964473684210525</v>
      </c>
      <c r="D139" s="741">
        <f>MAX('Cost data'!$C$47,('Cost data'!A139-60)/60*'Income data'!$H$7)</f>
        <v>35</v>
      </c>
      <c r="E139" s="742">
        <f t="shared" si="1"/>
        <v>35</v>
      </c>
      <c r="F139" s="271"/>
      <c r="G139" s="288"/>
    </row>
    <row r="140" spans="1:7" ht="15.5" x14ac:dyDescent="0.35">
      <c r="A140" s="629">
        <v>73</v>
      </c>
      <c r="B140" s="740">
        <f>MAX('Cost data'!$C$47,('Cost data'!A140-38)/38*'Income data'!$H$5)</f>
        <v>75.990296052631578</v>
      </c>
      <c r="C140" s="284">
        <f>MAX('Cost data'!$C$47,'Cost data'!A140/76*'Income data'!$H$6)</f>
        <v>54.713980263157893</v>
      </c>
      <c r="D140" s="741">
        <f>MAX('Cost data'!$C$47,('Cost data'!A140-60)/60*'Income data'!$H$7)</f>
        <v>35</v>
      </c>
      <c r="E140" s="742">
        <f t="shared" si="1"/>
        <v>35</v>
      </c>
      <c r="F140" s="271"/>
      <c r="G140" s="288"/>
    </row>
    <row r="141" spans="1:7" ht="15.5" x14ac:dyDescent="0.35">
      <c r="A141" s="629">
        <v>74</v>
      </c>
      <c r="B141" s="740">
        <f>MAX('Cost data'!$C$47,('Cost data'!A141-38)/38*'Income data'!$H$5)</f>
        <v>78.161447368421051</v>
      </c>
      <c r="C141" s="284">
        <f>MAX('Cost data'!$C$47,'Cost data'!A141/76*'Income data'!$H$6)</f>
        <v>55.463486842105262</v>
      </c>
      <c r="D141" s="741">
        <f>MAX('Cost data'!$C$47,('Cost data'!A141-60)/60*'Income data'!$H$7)</f>
        <v>35</v>
      </c>
      <c r="E141" s="742">
        <f t="shared" si="1"/>
        <v>35</v>
      </c>
      <c r="F141" s="271"/>
      <c r="G141" s="288"/>
    </row>
    <row r="142" spans="1:7" ht="15.5" x14ac:dyDescent="0.35">
      <c r="A142" s="629">
        <v>75</v>
      </c>
      <c r="B142" s="740">
        <f>MAX('Cost data'!$C$47,('Cost data'!A142-38)/38*'Income data'!$H$5)</f>
        <v>80.332598684210524</v>
      </c>
      <c r="C142" s="284">
        <f>MAX('Cost data'!$C$47,'Cost data'!A142/76*'Income data'!$H$6)</f>
        <v>56.21299342105263</v>
      </c>
      <c r="D142" s="741">
        <f>MAX('Cost data'!$C$47,('Cost data'!A142-60)/60*'Income data'!$H$7)</f>
        <v>35</v>
      </c>
      <c r="E142" s="742">
        <f t="shared" si="1"/>
        <v>35</v>
      </c>
      <c r="F142" s="271"/>
      <c r="G142" s="288"/>
    </row>
    <row r="143" spans="1:7" ht="15.5" x14ac:dyDescent="0.35">
      <c r="A143" s="629">
        <v>76</v>
      </c>
      <c r="B143" s="740">
        <f>MAX('Cost data'!$C$47,('Cost data'!A143-38)/38*'Income data'!$H$5)</f>
        <v>82.503749999999997</v>
      </c>
      <c r="C143" s="284">
        <f>MAX('Cost data'!$C$47,'Cost data'!A143/76*'Income data'!$H$6)</f>
        <v>56.962499999999999</v>
      </c>
      <c r="D143" s="741">
        <f>MAX('Cost data'!$C$47,('Cost data'!A143-60)/60*'Income data'!$H$7)</f>
        <v>35</v>
      </c>
      <c r="E143" s="742">
        <f t="shared" si="1"/>
        <v>35</v>
      </c>
      <c r="F143" s="271"/>
      <c r="G143" s="288"/>
    </row>
    <row r="144" spans="1:7" ht="15.5" x14ac:dyDescent="0.35">
      <c r="A144" s="629">
        <v>77</v>
      </c>
      <c r="B144" s="740">
        <f>MAX('Cost data'!$C$47,('Cost data'!A144-2*38)/38*'Income data'!$H$5)</f>
        <v>35</v>
      </c>
      <c r="C144" s="284">
        <f>MAX('Cost data'!$C$47,('Cost data'!A144-76)/76*'Income data'!$H$6)</f>
        <v>35</v>
      </c>
      <c r="D144" s="741">
        <f>MAX('Cost data'!$C$47,('Cost data'!A144-60)/60*'Income data'!$H$7)</f>
        <v>35</v>
      </c>
      <c r="E144" s="742">
        <f t="shared" si="1"/>
        <v>35</v>
      </c>
      <c r="F144" s="271"/>
      <c r="G144" s="288"/>
    </row>
    <row r="145" spans="1:7" ht="15.5" x14ac:dyDescent="0.35">
      <c r="A145" s="629">
        <v>78</v>
      </c>
      <c r="B145" s="740">
        <f>MAX('Cost data'!$C$47,('Cost data'!A145-2*38)/38*'Income data'!$H$5)</f>
        <v>35</v>
      </c>
      <c r="C145" s="284">
        <f>MAX('Cost data'!$C$47,('Cost data'!A145-76)/76*'Income data'!$H$6)</f>
        <v>35</v>
      </c>
      <c r="D145" s="741">
        <f>MAX('Cost data'!$C$47,('Cost data'!A145-60)/60*'Income data'!$H$7)</f>
        <v>35</v>
      </c>
      <c r="E145" s="742">
        <f t="shared" si="1"/>
        <v>35</v>
      </c>
      <c r="F145" s="271"/>
      <c r="G145" s="288"/>
    </row>
    <row r="146" spans="1:7" ht="15.5" x14ac:dyDescent="0.35">
      <c r="A146" s="629">
        <v>79</v>
      </c>
      <c r="B146" s="740">
        <f>MAX('Cost data'!$C$47,('Cost data'!A146-2*38)/38*'Income data'!$H$5)</f>
        <v>35</v>
      </c>
      <c r="C146" s="284">
        <f>MAX('Cost data'!$C$47,('Cost data'!A146-76)/76*'Income data'!$H$6)</f>
        <v>35</v>
      </c>
      <c r="D146" s="741">
        <f>MAX('Cost data'!$C$47,('Cost data'!A146-60)/60*'Income data'!$H$7)</f>
        <v>35</v>
      </c>
      <c r="E146" s="742">
        <f t="shared" si="1"/>
        <v>35</v>
      </c>
      <c r="F146" s="271"/>
      <c r="G146" s="288"/>
    </row>
    <row r="147" spans="1:7" ht="15.5" x14ac:dyDescent="0.35">
      <c r="A147" s="629">
        <v>80</v>
      </c>
      <c r="B147" s="740">
        <f>MAX('Cost data'!$C$47,('Cost data'!A147-2*38)/38*'Income data'!$H$5)</f>
        <v>35</v>
      </c>
      <c r="C147" s="284">
        <f>MAX('Cost data'!$C$47,('Cost data'!A147-76)/76*'Income data'!$H$6)</f>
        <v>35</v>
      </c>
      <c r="D147" s="741">
        <f>MAX('Cost data'!$C$47,('Cost data'!A147-60)/60*'Income data'!$H$7)</f>
        <v>35</v>
      </c>
      <c r="E147" s="742">
        <f t="shared" si="1"/>
        <v>35</v>
      </c>
      <c r="F147" s="271"/>
      <c r="G147" s="288"/>
    </row>
    <row r="148" spans="1:7" ht="15.5" x14ac:dyDescent="0.35">
      <c r="A148" s="629">
        <v>81</v>
      </c>
      <c r="B148" s="740">
        <f>MAX('Cost data'!$C$47,('Cost data'!A148-2*38)/38*'Income data'!$H$5)</f>
        <v>35</v>
      </c>
      <c r="C148" s="284">
        <f>MAX('Cost data'!$C$47,('Cost data'!A148-76)/76*'Income data'!$H$6)</f>
        <v>35</v>
      </c>
      <c r="D148" s="741">
        <f>MAX('Cost data'!$C$47,('Cost data'!A148-60)/60*'Income data'!$H$7)</f>
        <v>35</v>
      </c>
      <c r="E148" s="742">
        <f t="shared" si="1"/>
        <v>35</v>
      </c>
      <c r="F148" s="271"/>
      <c r="G148" s="288"/>
    </row>
    <row r="149" spans="1:7" ht="15.5" x14ac:dyDescent="0.35">
      <c r="A149" s="629">
        <v>82</v>
      </c>
      <c r="B149" s="740">
        <f>MAX('Cost data'!$C$47,('Cost data'!A149-2*38)/38*'Income data'!$H$5)</f>
        <v>35</v>
      </c>
      <c r="C149" s="284">
        <f>MAX('Cost data'!$C$47,('Cost data'!A149-76)/76*'Income data'!$H$6)</f>
        <v>35</v>
      </c>
      <c r="D149" s="741">
        <f>MAX('Cost data'!$C$47,('Cost data'!A149-60)/60*'Income data'!$H$7)</f>
        <v>35</v>
      </c>
      <c r="E149" s="742">
        <f t="shared" si="1"/>
        <v>35</v>
      </c>
      <c r="F149" s="271"/>
      <c r="G149" s="288"/>
    </row>
    <row r="150" spans="1:7" ht="15.5" x14ac:dyDescent="0.35">
      <c r="A150" s="629">
        <v>83</v>
      </c>
      <c r="B150" s="740">
        <f>MAX('Cost data'!$C$47,('Cost data'!A150-2*38)/38*'Income data'!$H$5)</f>
        <v>35</v>
      </c>
      <c r="C150" s="284">
        <f>MAX('Cost data'!$C$47,('Cost data'!A150-76)/76*'Income data'!$H$6)</f>
        <v>35</v>
      </c>
      <c r="D150" s="741">
        <f>MAX('Cost data'!$C$47,('Cost data'!A150-60)/60*'Income data'!$H$7)</f>
        <v>35</v>
      </c>
      <c r="E150" s="742">
        <f t="shared" si="1"/>
        <v>35</v>
      </c>
      <c r="F150" s="271"/>
      <c r="G150" s="288"/>
    </row>
    <row r="151" spans="1:7" ht="15.5" x14ac:dyDescent="0.35">
      <c r="A151" s="629">
        <v>84</v>
      </c>
      <c r="B151" s="740">
        <f>MAX('Cost data'!$C$47,('Cost data'!A151-2*38)/38*'Income data'!$H$5)</f>
        <v>35</v>
      </c>
      <c r="C151" s="284">
        <f>MAX('Cost data'!$C$47,('Cost data'!A151-76)/76*'Income data'!$H$6)</f>
        <v>35</v>
      </c>
      <c r="D151" s="741">
        <f>MAX('Cost data'!$C$47,('Cost data'!A151-60)/60*'Income data'!$H$7)</f>
        <v>35.427</v>
      </c>
      <c r="E151" s="742">
        <f t="shared" si="1"/>
        <v>35</v>
      </c>
      <c r="F151" s="271"/>
      <c r="G151" s="288"/>
    </row>
    <row r="152" spans="1:7" ht="15.5" x14ac:dyDescent="0.35">
      <c r="A152" s="629">
        <v>85</v>
      </c>
      <c r="B152" s="740">
        <f>MAX('Cost data'!$C$47,('Cost data'!A152-2*38)/38*'Income data'!$H$5)</f>
        <v>35</v>
      </c>
      <c r="C152" s="284">
        <f>MAX('Cost data'!$C$47,('Cost data'!A152-76)/76*'Income data'!$H$6)</f>
        <v>35</v>
      </c>
      <c r="D152" s="741">
        <f>MAX('Cost data'!$C$47,('Cost data'!A152-60)/60*'Income data'!$H$7)</f>
        <v>36.903125000000003</v>
      </c>
      <c r="E152" s="742">
        <f t="shared" si="1"/>
        <v>35</v>
      </c>
      <c r="F152" s="271"/>
      <c r="G152" s="288"/>
    </row>
    <row r="153" spans="1:7" ht="15.5" x14ac:dyDescent="0.35">
      <c r="A153" s="629">
        <v>86</v>
      </c>
      <c r="B153" s="740">
        <f>MAX('Cost data'!$C$47,('Cost data'!A153-2*38)/38*'Income data'!$H$5)</f>
        <v>35</v>
      </c>
      <c r="C153" s="284">
        <f>MAX('Cost data'!$C$47,('Cost data'!A153-76)/76*'Income data'!$H$6)</f>
        <v>35</v>
      </c>
      <c r="D153" s="741">
        <f>MAX('Cost data'!$C$47,('Cost data'!A153-60)/60*'Income data'!$H$7)</f>
        <v>38.379249999999999</v>
      </c>
      <c r="E153" s="742">
        <f t="shared" si="1"/>
        <v>35</v>
      </c>
      <c r="F153" s="271"/>
      <c r="G153" s="288"/>
    </row>
    <row r="154" spans="1:7" ht="15.5" x14ac:dyDescent="0.35">
      <c r="A154" s="629">
        <v>87</v>
      </c>
      <c r="B154" s="740">
        <f>MAX('Cost data'!$C$47,('Cost data'!A154-2*38)/38*'Income data'!$H$5)</f>
        <v>35</v>
      </c>
      <c r="C154" s="284">
        <f>MAX('Cost data'!$C$47,('Cost data'!A154-76)/76*'Income data'!$H$6)</f>
        <v>35</v>
      </c>
      <c r="D154" s="741">
        <f>MAX('Cost data'!$C$47,('Cost data'!A154-60)/60*'Income data'!$H$7)</f>
        <v>39.855375000000002</v>
      </c>
      <c r="E154" s="742">
        <f t="shared" si="1"/>
        <v>35</v>
      </c>
      <c r="F154" s="271"/>
      <c r="G154" s="288"/>
    </row>
    <row r="155" spans="1:7" ht="15.5" x14ac:dyDescent="0.35">
      <c r="A155" s="629">
        <v>88</v>
      </c>
      <c r="B155" s="740">
        <f>MAX('Cost data'!$C$47,('Cost data'!A155-2*38)/38*'Income data'!$H$5)</f>
        <v>35</v>
      </c>
      <c r="C155" s="284">
        <f>MAX('Cost data'!$C$47,('Cost data'!A155-76)/76*'Income data'!$H$6)</f>
        <v>35</v>
      </c>
      <c r="D155" s="741">
        <f>MAX('Cost data'!$C$47,('Cost data'!A155-60)/60*'Income data'!$H$7)</f>
        <v>41.331499999999998</v>
      </c>
      <c r="E155" s="742">
        <f t="shared" si="1"/>
        <v>35</v>
      </c>
      <c r="F155" s="271"/>
      <c r="G155" s="288"/>
    </row>
    <row r="156" spans="1:7" ht="15.5" x14ac:dyDescent="0.35">
      <c r="A156" s="629">
        <v>89</v>
      </c>
      <c r="B156" s="740">
        <f>MAX('Cost data'!$C$47,('Cost data'!A156-2*38)/38*'Income data'!$H$5)</f>
        <v>35</v>
      </c>
      <c r="C156" s="284">
        <f>MAX('Cost data'!$C$47,('Cost data'!A156-76)/76*'Income data'!$H$6)</f>
        <v>35</v>
      </c>
      <c r="D156" s="741">
        <f>MAX('Cost data'!$C$47,('Cost data'!A156-60)/60*'Income data'!$H$7)</f>
        <v>42.807625000000002</v>
      </c>
      <c r="E156" s="742">
        <f t="shared" si="1"/>
        <v>35</v>
      </c>
      <c r="F156" s="271"/>
      <c r="G156" s="288"/>
    </row>
    <row r="157" spans="1:7" ht="15.5" x14ac:dyDescent="0.35">
      <c r="A157" s="629">
        <v>90</v>
      </c>
      <c r="B157" s="740">
        <f>MAX('Cost data'!$C$47,('Cost data'!A157-2*38)/38*'Income data'!$H$5)</f>
        <v>35</v>
      </c>
      <c r="C157" s="284">
        <f>MAX('Cost data'!$C$47,('Cost data'!A157-76)/76*'Income data'!$H$6)</f>
        <v>35</v>
      </c>
      <c r="D157" s="741">
        <f>MAX('Cost data'!$C$47,('Cost data'!A157-60)/60*'Income data'!$H$7)</f>
        <v>44.283749999999998</v>
      </c>
      <c r="E157" s="742">
        <f t="shared" si="1"/>
        <v>35</v>
      </c>
      <c r="F157" s="271"/>
      <c r="G157" s="288"/>
    </row>
    <row r="158" spans="1:7" ht="15.5" x14ac:dyDescent="0.35">
      <c r="A158" s="629">
        <v>91</v>
      </c>
      <c r="B158" s="740">
        <f>MAX('Cost data'!$C$47,('Cost data'!A158-2*38)/38*'Income data'!$H$5)</f>
        <v>35</v>
      </c>
      <c r="C158" s="284">
        <f>MAX('Cost data'!$C$47,('Cost data'!A158-76)/76*'Income data'!$H$6)</f>
        <v>35</v>
      </c>
      <c r="D158" s="741">
        <f>MAX('Cost data'!$C$47,('Cost data'!A158-60)/60*'Income data'!$H$7)</f>
        <v>45.759875000000001</v>
      </c>
      <c r="E158" s="742">
        <f t="shared" si="1"/>
        <v>35</v>
      </c>
      <c r="F158" s="271"/>
      <c r="G158" s="288"/>
    </row>
    <row r="159" spans="1:7" ht="15.5" x14ac:dyDescent="0.35">
      <c r="A159" s="629">
        <v>92</v>
      </c>
      <c r="B159" s="740">
        <f>MAX('Cost data'!$C$47,('Cost data'!A159-2*38)/38*'Income data'!$H$5)</f>
        <v>35</v>
      </c>
      <c r="C159" s="284">
        <f>MAX('Cost data'!$C$47,('Cost data'!A159-76)/76*'Income data'!$H$6)</f>
        <v>35</v>
      </c>
      <c r="D159" s="741">
        <f>MAX('Cost data'!$C$47,('Cost data'!A159-60)/60*'Income data'!$H$7)</f>
        <v>47.235999999999997</v>
      </c>
      <c r="E159" s="742">
        <f t="shared" si="1"/>
        <v>35</v>
      </c>
      <c r="F159" s="271"/>
      <c r="G159" s="288"/>
    </row>
    <row r="160" spans="1:7" ht="15.5" x14ac:dyDescent="0.35">
      <c r="A160" s="629">
        <v>93</v>
      </c>
      <c r="B160" s="740">
        <f>MAX('Cost data'!$C$47,('Cost data'!A160-2*38)/38*'Income data'!$H$5)</f>
        <v>36.909572368421053</v>
      </c>
      <c r="C160" s="284">
        <f>MAX('Cost data'!$C$47,('Cost data'!A160-76)/76*'Income data'!$H$6)</f>
        <v>35</v>
      </c>
      <c r="D160" s="741">
        <f>MAX('Cost data'!$C$47,('Cost data'!A160-60)/60*'Income data'!$H$7)</f>
        <v>48.712125</v>
      </c>
      <c r="E160" s="742">
        <f t="shared" si="1"/>
        <v>35</v>
      </c>
      <c r="F160" s="271"/>
      <c r="G160" s="288"/>
    </row>
    <row r="161" spans="1:7" ht="15.5" x14ac:dyDescent="0.35">
      <c r="A161" s="629">
        <v>94</v>
      </c>
      <c r="B161" s="740">
        <f>MAX('Cost data'!$C$47,('Cost data'!A161-2*38)/38*'Income data'!$H$5)</f>
        <v>39.080723684210525</v>
      </c>
      <c r="C161" s="284">
        <f>MAX('Cost data'!$C$47,('Cost data'!A161-76)/76*'Income data'!$H$6)</f>
        <v>35</v>
      </c>
      <c r="D161" s="741">
        <f>MAX('Cost data'!$C$47,('Cost data'!A161-60)/60*'Income data'!$H$7)</f>
        <v>50.188249999999996</v>
      </c>
      <c r="E161" s="742">
        <f t="shared" si="1"/>
        <v>35</v>
      </c>
      <c r="F161" s="271"/>
      <c r="G161" s="288"/>
    </row>
    <row r="162" spans="1:7" ht="15.5" x14ac:dyDescent="0.35">
      <c r="A162" s="629">
        <v>95</v>
      </c>
      <c r="B162" s="740">
        <f>MAX('Cost data'!$C$47,('Cost data'!A162-2*38)/38*'Income data'!$H$5)</f>
        <v>41.251874999999998</v>
      </c>
      <c r="C162" s="284">
        <f>MAX('Cost data'!$C$47,('Cost data'!A162-76)/76*'Income data'!$H$6)</f>
        <v>35</v>
      </c>
      <c r="D162" s="741">
        <f>MAX('Cost data'!$C$47,('Cost data'!A162-60)/60*'Income data'!$H$7)</f>
        <v>51.664375</v>
      </c>
      <c r="E162" s="742">
        <f t="shared" si="1"/>
        <v>35</v>
      </c>
      <c r="F162" s="271"/>
      <c r="G162" s="288"/>
    </row>
    <row r="163" spans="1:7" ht="15.5" x14ac:dyDescent="0.35">
      <c r="A163" s="629">
        <v>96</v>
      </c>
      <c r="B163" s="740">
        <f>MAX('Cost data'!$C$47,('Cost data'!A163-2*38)/38*'Income data'!$H$5)</f>
        <v>43.423026315789471</v>
      </c>
      <c r="C163" s="284">
        <f>MAX('Cost data'!$C$47,('Cost data'!A163-76)/76*'Income data'!$H$6)</f>
        <v>35</v>
      </c>
      <c r="D163" s="741">
        <f>MAX('Cost data'!$C$47,('Cost data'!A163-60)/60*'Income data'!$H$7)</f>
        <v>53.140499999999996</v>
      </c>
      <c r="E163" s="742">
        <f t="shared" si="1"/>
        <v>35</v>
      </c>
      <c r="F163" s="271"/>
      <c r="G163" s="288"/>
    </row>
    <row r="164" spans="1:7" ht="15.5" x14ac:dyDescent="0.35">
      <c r="A164" s="629">
        <v>97</v>
      </c>
      <c r="B164" s="740">
        <f>MAX('Cost data'!$C$47,('Cost data'!A164-2*38)/38*'Income data'!$H$5)</f>
        <v>45.594177631578951</v>
      </c>
      <c r="C164" s="284">
        <f>MAX('Cost data'!$C$47,('Cost data'!A164-76)/76*'Income data'!$H$6)</f>
        <v>35</v>
      </c>
      <c r="D164" s="741">
        <f>MAX('Cost data'!$C$47,('Cost data'!A164-60)/60*'Income data'!$H$7)</f>
        <v>54.616624999999999</v>
      </c>
      <c r="E164" s="742">
        <f t="shared" si="1"/>
        <v>35</v>
      </c>
      <c r="F164" s="271"/>
      <c r="G164" s="288"/>
    </row>
    <row r="165" spans="1:7" ht="15.5" x14ac:dyDescent="0.35">
      <c r="A165" s="629">
        <v>98</v>
      </c>
      <c r="B165" s="740">
        <f>MAX('Cost data'!$C$47,('Cost data'!A165-2*38)/38*'Income data'!$H$5)</f>
        <v>47.765328947368424</v>
      </c>
      <c r="C165" s="284">
        <f>MAX('Cost data'!$C$47,('Cost data'!A165-76)/76*'Income data'!$H$6)</f>
        <v>35</v>
      </c>
      <c r="D165" s="741">
        <f>MAX('Cost data'!$C$47,('Cost data'!A165-60)/60*'Income data'!$H$7)</f>
        <v>56.092749999999995</v>
      </c>
      <c r="E165" s="742">
        <f t="shared" si="1"/>
        <v>35</v>
      </c>
      <c r="F165" s="271"/>
      <c r="G165" s="288"/>
    </row>
    <row r="166" spans="1:7" ht="15.5" x14ac:dyDescent="0.35">
      <c r="A166" s="629">
        <v>99</v>
      </c>
      <c r="B166" s="740">
        <f>MAX('Cost data'!$C$47,('Cost data'!A166-2*38)/38*'Income data'!$H$5)</f>
        <v>49.93648026315789</v>
      </c>
      <c r="C166" s="284">
        <f>MAX('Cost data'!$C$47,('Cost data'!A166-76)/76*'Income data'!$H$6)</f>
        <v>35</v>
      </c>
      <c r="D166" s="741">
        <f>MAX('Cost data'!$C$47,('Cost data'!A166-60)/60*'Income data'!$H$7)</f>
        <v>57.568874999999998</v>
      </c>
      <c r="E166" s="742">
        <f t="shared" si="1"/>
        <v>35</v>
      </c>
      <c r="F166" s="271"/>
      <c r="G166" s="288"/>
    </row>
    <row r="167" spans="1:7" ht="15.5" x14ac:dyDescent="0.35">
      <c r="A167" s="629">
        <v>100</v>
      </c>
      <c r="B167" s="740">
        <f>MAX('Cost data'!$C$47,('Cost data'!A167-2*38)/38*'Income data'!$H$5)</f>
        <v>52.107631578947363</v>
      </c>
      <c r="C167" s="284">
        <f>MAX('Cost data'!$C$47,('Cost data'!A167-76)/76*'Income data'!$H$6)</f>
        <v>35</v>
      </c>
      <c r="D167" s="741">
        <f>MAX('Cost data'!$C$47,('Cost data'!A167-60)/60*'Income data'!$H$7)</f>
        <v>59.044999999999995</v>
      </c>
      <c r="E167" s="742">
        <f t="shared" si="1"/>
        <v>35</v>
      </c>
      <c r="F167" s="271"/>
      <c r="G167" s="288"/>
    </row>
  </sheetData>
  <sheetProtection algorithmName="SHA-512" hashValue="gTSLxTQO/kd3K3S+ympYPashIopYo8K6kzPgwWBJ5/JHhHQ23NIxuyTEpkJiIGAJ4pDzAHvRFLHUIrqb6ReHTw==" saltValue="o5FEU/p/pk3gjMC33JBAAA==" spinCount="100000" sheet="1" objects="1" scenarios="1"/>
  <mergeCells count="2">
    <mergeCell ref="D58:D59"/>
    <mergeCell ref="F65:F6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3" tint="0.79998168889431442"/>
  </sheetPr>
  <dimension ref="A1:G30"/>
  <sheetViews>
    <sheetView topLeftCell="B1" zoomScaleNormal="100" workbookViewId="0">
      <selection activeCell="B1" sqref="B1:C1"/>
    </sheetView>
  </sheetViews>
  <sheetFormatPr defaultColWidth="25" defaultRowHeight="13.5" x14ac:dyDescent="0.3"/>
  <cols>
    <col min="1" max="1" width="36" hidden="1" customWidth="1"/>
    <col min="2" max="3" width="25" customWidth="1"/>
    <col min="4" max="4" width="30.4609375" style="1" customWidth="1"/>
    <col min="5" max="5" width="25" customWidth="1"/>
    <col min="6" max="6" width="65" style="1" customWidth="1"/>
  </cols>
  <sheetData>
    <row r="1" spans="1:7" ht="20" x14ac:dyDescent="0.4">
      <c r="B1" s="845" t="s">
        <v>345</v>
      </c>
      <c r="C1" s="836"/>
      <c r="D1" s="257"/>
      <c r="E1" s="259"/>
      <c r="F1" s="257"/>
      <c r="G1" s="259"/>
    </row>
    <row r="2" spans="1:7" x14ac:dyDescent="0.3">
      <c r="B2" s="259"/>
      <c r="C2" s="259"/>
      <c r="D2" s="257"/>
      <c r="E2" s="259"/>
      <c r="F2" s="257"/>
      <c r="G2" s="259"/>
    </row>
    <row r="3" spans="1:7" ht="39" x14ac:dyDescent="0.3">
      <c r="B3" s="747" t="s">
        <v>56</v>
      </c>
      <c r="C3" s="747" t="s">
        <v>337</v>
      </c>
      <c r="D3" s="748" t="s">
        <v>463</v>
      </c>
      <c r="E3" s="749" t="s">
        <v>486</v>
      </c>
      <c r="F3" s="747" t="s">
        <v>338</v>
      </c>
      <c r="G3" s="259"/>
    </row>
    <row r="4" spans="1:7" s="1" customFormat="1" x14ac:dyDescent="0.3">
      <c r="A4" s="21" t="s">
        <v>113</v>
      </c>
      <c r="B4" s="750"/>
      <c r="C4" s="751"/>
      <c r="D4" s="752" t="s">
        <v>95</v>
      </c>
      <c r="E4" s="753" t="s">
        <v>95</v>
      </c>
      <c r="F4" s="754"/>
      <c r="G4" s="257"/>
    </row>
    <row r="5" spans="1:7" ht="15" customHeight="1" x14ac:dyDescent="0.3">
      <c r="A5" s="20" t="str">
        <f t="shared" ref="A5:A16" si="0">CONCATENATE(B5,C5)</f>
        <v>EnglandCattle and sheep (LFA)</v>
      </c>
      <c r="B5" s="755" t="s">
        <v>49</v>
      </c>
      <c r="C5" s="756" t="s">
        <v>215</v>
      </c>
      <c r="D5" s="757">
        <v>169</v>
      </c>
      <c r="E5" s="758">
        <v>168</v>
      </c>
      <c r="F5" s="759" t="s">
        <v>530</v>
      </c>
      <c r="G5" s="259"/>
    </row>
    <row r="6" spans="1:7" ht="18.649999999999999" customHeight="1" x14ac:dyDescent="0.3">
      <c r="A6" s="20" t="str">
        <f t="shared" si="0"/>
        <v>EnglandCattle and sheep (Lowland)</v>
      </c>
      <c r="B6" s="760" t="s">
        <v>49</v>
      </c>
      <c r="C6" s="761" t="s">
        <v>307</v>
      </c>
      <c r="D6" s="757">
        <v>169</v>
      </c>
      <c r="E6" s="758">
        <v>168</v>
      </c>
      <c r="F6" s="759" t="s">
        <v>530</v>
      </c>
      <c r="G6" s="257"/>
    </row>
    <row r="7" spans="1:7" x14ac:dyDescent="0.3">
      <c r="A7" s="20" t="str">
        <f>CONCATENATE(B7,C7)</f>
        <v>EnglandArable</v>
      </c>
      <c r="B7" s="762" t="s">
        <v>49</v>
      </c>
      <c r="C7" s="763" t="s">
        <v>213</v>
      </c>
      <c r="D7" s="764">
        <v>346</v>
      </c>
      <c r="E7" s="765">
        <v>182</v>
      </c>
      <c r="F7" s="766" t="s">
        <v>487</v>
      </c>
      <c r="G7" s="259"/>
    </row>
    <row r="8" spans="1:7" ht="15" customHeight="1" x14ac:dyDescent="0.3">
      <c r="A8" s="20" t="str">
        <f t="shared" si="0"/>
        <v>Northern_IrelandCattle and sheep (LFA)</v>
      </c>
      <c r="B8" s="760" t="s">
        <v>111</v>
      </c>
      <c r="C8" s="761" t="s">
        <v>215</v>
      </c>
      <c r="D8" s="767">
        <v>213</v>
      </c>
      <c r="E8" s="768">
        <v>326</v>
      </c>
      <c r="F8" s="759" t="s">
        <v>531</v>
      </c>
      <c r="G8" s="259"/>
    </row>
    <row r="9" spans="1:7" ht="15" customHeight="1" x14ac:dyDescent="0.3">
      <c r="A9" s="20" t="str">
        <f t="shared" si="0"/>
        <v>Northern_IrelandCattle and sheep (Lowland)</v>
      </c>
      <c r="B9" s="760" t="s">
        <v>111</v>
      </c>
      <c r="C9" s="761" t="s">
        <v>307</v>
      </c>
      <c r="D9" s="767">
        <v>327</v>
      </c>
      <c r="E9" s="768">
        <v>376</v>
      </c>
      <c r="F9" s="759" t="s">
        <v>532</v>
      </c>
      <c r="G9" s="259"/>
    </row>
    <row r="10" spans="1:7" ht="15" customHeight="1" x14ac:dyDescent="0.3">
      <c r="A10" s="20" t="str">
        <f t="shared" si="0"/>
        <v>Northern_IrelandArable</v>
      </c>
      <c r="B10" s="760" t="s">
        <v>111</v>
      </c>
      <c r="C10" s="761" t="s">
        <v>213</v>
      </c>
      <c r="D10" s="757">
        <v>590</v>
      </c>
      <c r="E10" s="769">
        <v>336</v>
      </c>
      <c r="F10" s="766" t="s">
        <v>488</v>
      </c>
      <c r="G10" s="259"/>
    </row>
    <row r="11" spans="1:7" ht="30.65" customHeight="1" x14ac:dyDescent="0.3">
      <c r="A11" s="20" t="str">
        <f t="shared" si="0"/>
        <v>ScotlandCattle and sheep (LFA)</v>
      </c>
      <c r="B11" s="755" t="s">
        <v>48</v>
      </c>
      <c r="C11" s="756" t="s">
        <v>215</v>
      </c>
      <c r="D11" s="770">
        <v>102</v>
      </c>
      <c r="E11" s="771">
        <v>85</v>
      </c>
      <c r="F11" s="772" t="s">
        <v>533</v>
      </c>
      <c r="G11" s="259"/>
    </row>
    <row r="12" spans="1:7" ht="15" customHeight="1" x14ac:dyDescent="0.3">
      <c r="A12" s="20" t="str">
        <f>CONCATENATE(B12,C12)</f>
        <v>ScotlandCattle and sheep (Lowland)</v>
      </c>
      <c r="B12" s="760" t="s">
        <v>48</v>
      </c>
      <c r="C12" s="761" t="s">
        <v>307</v>
      </c>
      <c r="D12" s="757">
        <v>142</v>
      </c>
      <c r="E12" s="758">
        <v>214</v>
      </c>
      <c r="F12" s="759" t="s">
        <v>534</v>
      </c>
      <c r="G12" s="259"/>
    </row>
    <row r="13" spans="1:7" x14ac:dyDescent="0.3">
      <c r="A13" s="20" t="str">
        <f t="shared" si="0"/>
        <v>ScotlandArable</v>
      </c>
      <c r="B13" s="760" t="s">
        <v>48</v>
      </c>
      <c r="C13" s="761" t="s">
        <v>213</v>
      </c>
      <c r="D13" s="757">
        <v>422</v>
      </c>
      <c r="E13" s="769">
        <v>223</v>
      </c>
      <c r="F13" s="766" t="s">
        <v>535</v>
      </c>
      <c r="G13" s="259"/>
    </row>
    <row r="14" spans="1:7" ht="15" customHeight="1" x14ac:dyDescent="0.3">
      <c r="A14" s="20" t="str">
        <f t="shared" si="0"/>
        <v>WalesCattle and sheep (LFA)</v>
      </c>
      <c r="B14" s="755" t="s">
        <v>60</v>
      </c>
      <c r="C14" s="756" t="s">
        <v>215</v>
      </c>
      <c r="D14" s="773">
        <v>187</v>
      </c>
      <c r="E14" s="771">
        <v>159</v>
      </c>
      <c r="F14" s="759" t="s">
        <v>536</v>
      </c>
      <c r="G14" s="774"/>
    </row>
    <row r="15" spans="1:7" ht="15" customHeight="1" x14ac:dyDescent="0.3">
      <c r="A15" s="20" t="str">
        <f>CONCATENATE(B15,C15)</f>
        <v>WalesCattle and sheep (Lowland)</v>
      </c>
      <c r="B15" s="760" t="s">
        <v>60</v>
      </c>
      <c r="C15" s="761" t="s">
        <v>307</v>
      </c>
      <c r="D15" s="775">
        <v>209</v>
      </c>
      <c r="E15" s="758">
        <v>158</v>
      </c>
      <c r="F15" s="776" t="s">
        <v>537</v>
      </c>
      <c r="G15" s="774"/>
    </row>
    <row r="16" spans="1:7" ht="25.5" x14ac:dyDescent="0.3">
      <c r="A16" s="20" t="str">
        <f t="shared" si="0"/>
        <v>WalesArable</v>
      </c>
      <c r="B16" s="762" t="s">
        <v>60</v>
      </c>
      <c r="C16" s="763" t="s">
        <v>213</v>
      </c>
      <c r="D16" s="775">
        <v>204</v>
      </c>
      <c r="E16" s="777">
        <v>129</v>
      </c>
      <c r="F16" s="766" t="s">
        <v>489</v>
      </c>
      <c r="G16" s="774"/>
    </row>
    <row r="17" spans="2:7" x14ac:dyDescent="0.3">
      <c r="B17" s="259"/>
      <c r="C17" s="259"/>
      <c r="D17" s="778"/>
      <c r="E17" s="259"/>
      <c r="F17" s="257"/>
      <c r="G17" s="259"/>
    </row>
    <row r="18" spans="2:7" ht="29.15" customHeight="1" x14ac:dyDescent="0.3">
      <c r="B18" s="779" t="s">
        <v>56</v>
      </c>
      <c r="C18" s="780" t="s">
        <v>341</v>
      </c>
      <c r="D18" s="781" t="s">
        <v>133</v>
      </c>
      <c r="E18" s="259"/>
      <c r="F18" s="257"/>
      <c r="G18" s="259"/>
    </row>
    <row r="19" spans="2:7" ht="38" x14ac:dyDescent="0.3">
      <c r="B19" s="782" t="s">
        <v>49</v>
      </c>
      <c r="C19" s="783">
        <v>2</v>
      </c>
      <c r="D19" s="784" t="s">
        <v>506</v>
      </c>
      <c r="E19" s="259"/>
      <c r="F19" s="257"/>
      <c r="G19" s="259"/>
    </row>
    <row r="20" spans="2:7" ht="25.5" x14ac:dyDescent="0.3">
      <c r="B20" s="785" t="s">
        <v>111</v>
      </c>
      <c r="C20" s="783">
        <v>20</v>
      </c>
      <c r="D20" s="784" t="s">
        <v>214</v>
      </c>
      <c r="E20" s="259"/>
      <c r="F20" s="257"/>
      <c r="G20" s="259"/>
    </row>
    <row r="21" spans="2:7" ht="25.5" x14ac:dyDescent="0.3">
      <c r="B21" s="785" t="s">
        <v>48</v>
      </c>
      <c r="C21" s="783">
        <v>20</v>
      </c>
      <c r="D21" s="784" t="s">
        <v>217</v>
      </c>
      <c r="E21" s="259"/>
      <c r="F21" s="257"/>
      <c r="G21" s="259"/>
    </row>
    <row r="22" spans="2:7" ht="38" x14ac:dyDescent="0.3">
      <c r="B22" s="785" t="s">
        <v>60</v>
      </c>
      <c r="C22" s="783">
        <v>12</v>
      </c>
      <c r="D22" s="784" t="s">
        <v>218</v>
      </c>
      <c r="E22" s="259"/>
      <c r="F22" s="257"/>
      <c r="G22" s="259"/>
    </row>
    <row r="23" spans="2:7" x14ac:dyDescent="0.3">
      <c r="B23" s="259"/>
      <c r="C23" s="259"/>
      <c r="D23" s="257"/>
      <c r="E23" s="259"/>
      <c r="F23" s="257"/>
      <c r="G23" s="259"/>
    </row>
    <row r="24" spans="2:7" x14ac:dyDescent="0.3">
      <c r="B24" s="786" t="s">
        <v>339</v>
      </c>
      <c r="C24" s="786" t="s">
        <v>340</v>
      </c>
      <c r="D24" s="786" t="s">
        <v>186</v>
      </c>
      <c r="E24" s="259"/>
      <c r="F24" s="257"/>
      <c r="G24" s="259"/>
    </row>
    <row r="25" spans="2:7" ht="25" x14ac:dyDescent="0.3">
      <c r="B25" s="787" t="s">
        <v>49</v>
      </c>
      <c r="C25" s="788" t="s">
        <v>206</v>
      </c>
      <c r="D25" s="788" t="s">
        <v>206</v>
      </c>
      <c r="E25" s="259"/>
      <c r="F25" s="257"/>
      <c r="G25" s="259"/>
    </row>
    <row r="26" spans="2:7" ht="50.5" x14ac:dyDescent="0.3">
      <c r="B26" s="787" t="s">
        <v>61</v>
      </c>
      <c r="C26" s="789" t="s">
        <v>485</v>
      </c>
      <c r="D26" s="784" t="s">
        <v>485</v>
      </c>
      <c r="E26" s="259"/>
      <c r="F26" s="257"/>
      <c r="G26" s="259"/>
    </row>
    <row r="27" spans="2:7" ht="37.5" x14ac:dyDescent="0.3">
      <c r="B27" s="787" t="s">
        <v>48</v>
      </c>
      <c r="C27" s="788" t="s">
        <v>484</v>
      </c>
      <c r="D27" s="790" t="s">
        <v>484</v>
      </c>
      <c r="E27" s="259"/>
      <c r="F27" s="257"/>
      <c r="G27" s="259"/>
    </row>
    <row r="28" spans="2:7" ht="25" x14ac:dyDescent="0.3">
      <c r="B28" s="787" t="s">
        <v>60</v>
      </c>
      <c r="C28" s="788" t="s">
        <v>206</v>
      </c>
      <c r="D28" s="788" t="s">
        <v>206</v>
      </c>
      <c r="E28" s="259"/>
      <c r="F28" s="257"/>
      <c r="G28" s="259"/>
    </row>
    <row r="29" spans="2:7" x14ac:dyDescent="0.3">
      <c r="B29" s="259"/>
      <c r="C29" s="259"/>
      <c r="D29" s="257"/>
      <c r="E29" s="259"/>
      <c r="F29" s="257"/>
      <c r="G29" s="259"/>
    </row>
    <row r="30" spans="2:7" x14ac:dyDescent="0.3">
      <c r="B30" s="259"/>
      <c r="C30" s="259"/>
      <c r="D30" s="257"/>
      <c r="E30" s="259"/>
      <c r="F30" s="257"/>
      <c r="G30" s="259"/>
    </row>
  </sheetData>
  <sheetProtection algorithmName="SHA-512" hashValue="mIaBuSe68rwZn80xtjDI5h0vnqcXBu6gPd3xryj1TIYz0dIHcUpEkTrCNWsRRfjSd6BaLB7m1DnSE8xIwnhctQ==" saltValue="c3GDltnp41lZgRGk+7AMrg==" spinCount="100000" sheet="1" objects="1" scenarios="1"/>
  <mergeCells count="1">
    <mergeCell ref="B1:C1"/>
  </mergeCells>
  <hyperlinks>
    <hyperlink ref="C25" r:id="rId1" display="http://www.farmbusinesssurvey.co.uk/DataBuilder/" xr:uid="{00000000-0004-0000-0600-000000000000}"/>
    <hyperlink ref="C28" r:id="rId2" display="http://www.farmbusinesssurvey.co.uk/DataBuilder/" xr:uid="{00000000-0004-0000-0600-000001000000}"/>
    <hyperlink ref="D28" r:id="rId3" display="http://www.farmbusinesssurvey.co.uk/DataBuilder/" xr:uid="{00000000-0004-0000-0600-000002000000}"/>
    <hyperlink ref="D25" r:id="rId4" display="http://www.farmbusinesssurvey.co.uk/DataBuilder/" xr:uid="{00000000-0004-0000-0600-000005000000}"/>
    <hyperlink ref="D20" r:id="rId5" display="https://www.daera-ni.gov.uk/sites/default/files/publications/daera/Forest Expansion Scheme Questions and Answers 2020-2021.pdf" xr:uid="{00000000-0004-0000-0600-000007000000}"/>
    <hyperlink ref="D21" r:id="rId6" xr:uid="{00000000-0004-0000-0600-000008000000}"/>
    <hyperlink ref="D19" r:id="rId7" xr:uid="{00000000-0004-0000-0600-000009000000}"/>
    <hyperlink ref="D22" r:id="rId8" location="166403" xr:uid="{00000000-0004-0000-0600-00000A000000}"/>
    <hyperlink ref="C27" r:id="rId9" xr:uid="{0D2B6E61-1E53-41F4-A56F-B643A002F723}"/>
    <hyperlink ref="D27" r:id="rId10" xr:uid="{BECE694E-8E3E-4383-A4BF-ED03F46ACC94}"/>
    <hyperlink ref="C26" r:id="rId11" display="https://www.daera-ni.gov.uk/publications/farm-incomes-northern-ireland-2004-onwards" xr:uid="{FC188410-6EDF-492C-9E0E-756615131372}"/>
    <hyperlink ref="D26" r:id="rId12" display="https://www.daera-ni.gov.uk/publications/farm-incomes-northern-ireland-2004-onwards" xr:uid="{93D39702-05E6-40A6-9DB8-5244D415DA52}"/>
  </hyperlinks>
  <pageMargins left="0.7" right="0.7" top="0.75" bottom="0.75" header="0.3" footer="0.3"/>
  <pageSetup paperSize="9" orientation="portrait" horizontalDpi="90" verticalDpi="90"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CS160"/>
  <sheetViews>
    <sheetView zoomScale="85" zoomScaleNormal="85" workbookViewId="0">
      <selection activeCell="K4" sqref="K4"/>
    </sheetView>
  </sheetViews>
  <sheetFormatPr defaultRowHeight="13.5" x14ac:dyDescent="0.3"/>
  <cols>
    <col min="1" max="1" width="20.4609375" bestFit="1" customWidth="1"/>
    <col min="2" max="2" width="24.15234375" customWidth="1"/>
    <col min="3" max="3" width="22.84375" bestFit="1" customWidth="1"/>
    <col min="4" max="4" width="38.23046875" customWidth="1"/>
    <col min="5" max="5" width="17.765625" customWidth="1"/>
    <col min="6" max="6" width="4.61328125" customWidth="1"/>
    <col min="7" max="7" width="33.61328125" customWidth="1"/>
    <col min="8" max="8" width="4.3828125" customWidth="1"/>
    <col min="10" max="10" width="56.15234375" customWidth="1"/>
    <col min="11" max="11" width="18.4609375" customWidth="1"/>
    <col min="12" max="12" width="9" customWidth="1"/>
    <col min="13" max="13" width="18.765625" customWidth="1"/>
    <col min="14" max="14" width="17" customWidth="1"/>
    <col min="15" max="15" width="27.3828125" customWidth="1"/>
    <col min="16" max="16" width="20.15234375" customWidth="1"/>
    <col min="17" max="18" width="29.3828125" customWidth="1"/>
    <col min="19" max="19" width="15.4609375" customWidth="1"/>
    <col min="20" max="20" width="9" customWidth="1"/>
    <col min="21" max="21" width="13.23046875" customWidth="1"/>
    <col min="22" max="22" width="16" customWidth="1"/>
    <col min="23" max="23" width="17" customWidth="1"/>
  </cols>
  <sheetData>
    <row r="1" spans="1:23" ht="26.25" customHeight="1" x14ac:dyDescent="0.35">
      <c r="A1" s="51" t="s">
        <v>108</v>
      </c>
      <c r="B1" s="52"/>
      <c r="C1" s="51"/>
      <c r="D1" s="51"/>
      <c r="E1" s="51"/>
      <c r="G1" s="28" t="s">
        <v>178</v>
      </c>
      <c r="I1" s="35" t="s">
        <v>173</v>
      </c>
      <c r="J1" s="59"/>
      <c r="K1" s="29"/>
      <c r="M1" s="207">
        <v>45097</v>
      </c>
      <c r="N1" s="36"/>
      <c r="O1" s="36"/>
      <c r="P1" s="36"/>
      <c r="Q1" s="87"/>
      <c r="R1" s="36"/>
      <c r="S1" s="37"/>
      <c r="U1" s="846" t="s">
        <v>229</v>
      </c>
      <c r="V1" s="847"/>
      <c r="W1" s="848"/>
    </row>
    <row r="2" spans="1:23" x14ac:dyDescent="0.3">
      <c r="A2" s="57" t="s">
        <v>114</v>
      </c>
      <c r="B2" s="58" t="s">
        <v>49</v>
      </c>
      <c r="C2" s="58" t="s">
        <v>48</v>
      </c>
      <c r="D2" s="58" t="s">
        <v>60</v>
      </c>
      <c r="E2" s="58" t="s">
        <v>111</v>
      </c>
      <c r="G2" s="63" t="s">
        <v>118</v>
      </c>
      <c r="I2" s="60" t="s">
        <v>174</v>
      </c>
      <c r="J2" s="61"/>
      <c r="K2" s="62"/>
      <c r="M2" s="71" t="s">
        <v>162</v>
      </c>
      <c r="N2" s="38"/>
      <c r="O2" s="44" t="s">
        <v>152</v>
      </c>
      <c r="P2" s="38"/>
      <c r="Q2" s="88" t="s">
        <v>157</v>
      </c>
      <c r="R2" s="18"/>
      <c r="S2" s="39"/>
      <c r="U2" s="72"/>
      <c r="V2" s="33" t="s">
        <v>153</v>
      </c>
      <c r="W2" s="34"/>
    </row>
    <row r="3" spans="1:23" ht="27" x14ac:dyDescent="0.3">
      <c r="A3" s="53" t="s">
        <v>110</v>
      </c>
      <c r="B3" s="54" t="s">
        <v>109</v>
      </c>
      <c r="C3" s="54" t="s">
        <v>109</v>
      </c>
      <c r="D3" s="54" t="s">
        <v>109</v>
      </c>
      <c r="E3" s="54" t="s">
        <v>109</v>
      </c>
      <c r="G3" s="63" t="s">
        <v>119</v>
      </c>
      <c r="I3" s="23" t="s">
        <v>18</v>
      </c>
      <c r="J3" s="30">
        <f>IFERROR(IF(OR('Data entry'!B7="Scotland", 'Data entry'!B7="Wales", 'Data entry'!B7="Northern_Ireland",AND('Data entry'!B8="NO",'Data entry'!B7="England")),"Version 1",IF(AND('Data entry'!B7="England",'Data entry'!B8="Yes",'Data entry'!B9="10-Yearly"),"Version 2",IF(AND('Data entry'!B7="England",'Data entry'!B8="Yes",'Data entry'!B9="5-Yearly"),"Version 3",0))),"ERROR")</f>
        <v>0</v>
      </c>
      <c r="K3" s="22" t="str">
        <f>IF(J3="Version 1","VERSION_1",IF(J3="Version 2","VERSION_2",IF(J3="Version 3","VERSION_3","Error")))</f>
        <v>Error</v>
      </c>
      <c r="M3" s="76"/>
      <c r="N3" s="77" t="s">
        <v>161</v>
      </c>
      <c r="O3" s="85" t="s">
        <v>208</v>
      </c>
      <c r="P3" s="78" t="s">
        <v>160</v>
      </c>
      <c r="Q3" s="89" t="s">
        <v>209</v>
      </c>
      <c r="R3" s="86" t="s">
        <v>210</v>
      </c>
      <c r="S3" s="94" t="s">
        <v>160</v>
      </c>
      <c r="U3" s="72" t="s">
        <v>167</v>
      </c>
      <c r="V3" s="40">
        <f>AVERAGE(O4,O11)</f>
        <v>1482</v>
      </c>
      <c r="W3" s="41">
        <f>AVERAGE(Q4,Q11)</f>
        <v>2232</v>
      </c>
    </row>
    <row r="4" spans="1:23" ht="22.5" customHeight="1" x14ac:dyDescent="0.3">
      <c r="A4" s="25"/>
      <c r="B4" s="26" t="s">
        <v>50</v>
      </c>
      <c r="C4" s="26" t="s">
        <v>45</v>
      </c>
      <c r="D4" s="100" t="s">
        <v>90</v>
      </c>
      <c r="E4" s="26" t="s">
        <v>41</v>
      </c>
      <c r="G4" s="64" t="s">
        <v>120</v>
      </c>
      <c r="I4" s="31"/>
      <c r="J4" s="27"/>
      <c r="K4" s="32" t="str">
        <f>CONCATENATE(K3,"_COSTS")</f>
        <v>Error_COSTS</v>
      </c>
      <c r="M4" s="79">
        <v>1</v>
      </c>
      <c r="N4" s="80">
        <v>1</v>
      </c>
      <c r="O4" s="46">
        <v>1800</v>
      </c>
      <c r="P4" s="47">
        <f>O4</f>
        <v>1800</v>
      </c>
      <c r="Q4" s="90">
        <v>2800</v>
      </c>
      <c r="R4" s="46">
        <v>105.40517750231891</v>
      </c>
      <c r="S4" s="95">
        <f>SUM(Q4:R4)</f>
        <v>2905.405177502319</v>
      </c>
      <c r="U4" s="73" t="s">
        <v>168</v>
      </c>
      <c r="V4" s="42">
        <f>AVERAGE(P6,P13)</f>
        <v>624.03571428571422</v>
      </c>
      <c r="W4" s="43">
        <f>AVERAGE(S6,S13)</f>
        <v>595.12638683097839</v>
      </c>
    </row>
    <row r="5" spans="1:23" x14ac:dyDescent="0.3">
      <c r="A5" s="25"/>
      <c r="B5" s="26" t="s">
        <v>42</v>
      </c>
      <c r="C5" s="26" t="s">
        <v>50</v>
      </c>
      <c r="D5" s="100" t="s">
        <v>203</v>
      </c>
      <c r="E5" s="26" t="s">
        <v>62</v>
      </c>
      <c r="G5" s="64" t="s">
        <v>121</v>
      </c>
      <c r="M5" s="79" t="s">
        <v>154</v>
      </c>
      <c r="N5" s="80">
        <v>3</v>
      </c>
      <c r="O5" s="47">
        <v>3600</v>
      </c>
      <c r="P5" s="47">
        <f>O5/N5</f>
        <v>1200</v>
      </c>
      <c r="Q5" s="75">
        <v>4000</v>
      </c>
      <c r="R5" s="47">
        <v>105.40517750231891</v>
      </c>
      <c r="S5" s="96">
        <f>SUM(Q5:R5)/N5</f>
        <v>1368.468392500773</v>
      </c>
    </row>
    <row r="6" spans="1:23" x14ac:dyDescent="0.3">
      <c r="A6" s="25"/>
      <c r="B6" s="26" t="s">
        <v>43</v>
      </c>
      <c r="C6" s="26" t="s">
        <v>42</v>
      </c>
      <c r="D6" s="100" t="s">
        <v>204</v>
      </c>
      <c r="E6" s="26" t="s">
        <v>63</v>
      </c>
      <c r="G6" s="65" t="s">
        <v>122</v>
      </c>
      <c r="M6" s="79" t="s">
        <v>156</v>
      </c>
      <c r="N6" s="80">
        <v>7</v>
      </c>
      <c r="O6" s="47">
        <v>5800</v>
      </c>
      <c r="P6" s="46">
        <f>O6/N6</f>
        <v>828.57142857142856</v>
      </c>
      <c r="Q6" s="75">
        <v>5000</v>
      </c>
      <c r="R6" s="47">
        <v>210.81035500463781</v>
      </c>
      <c r="S6" s="97">
        <f>SUM(Q6:R6)/N6</f>
        <v>744.40147928637691</v>
      </c>
    </row>
    <row r="7" spans="1:23" x14ac:dyDescent="0.3">
      <c r="A7" s="25"/>
      <c r="B7" s="26" t="s">
        <v>52</v>
      </c>
      <c r="C7" s="26" t="s">
        <v>87</v>
      </c>
      <c r="D7" s="100" t="s">
        <v>88</v>
      </c>
      <c r="E7" s="26" t="s">
        <v>64</v>
      </c>
      <c r="M7" s="79" t="s">
        <v>155</v>
      </c>
      <c r="N7" s="80">
        <v>12.5</v>
      </c>
      <c r="O7" s="47">
        <v>8000</v>
      </c>
      <c r="P7" s="47">
        <f>O7/N7</f>
        <v>640</v>
      </c>
      <c r="Q7" s="75">
        <v>7000</v>
      </c>
      <c r="R7" s="47">
        <v>316.21553250695672</v>
      </c>
      <c r="S7" s="96">
        <f>SUM(Q7:R7)/N7</f>
        <v>585.29724260055661</v>
      </c>
    </row>
    <row r="8" spans="1:23" x14ac:dyDescent="0.3">
      <c r="A8" s="25"/>
      <c r="B8" s="26" t="s">
        <v>51</v>
      </c>
      <c r="C8" s="26" t="s">
        <v>43</v>
      </c>
      <c r="D8" s="100" t="s">
        <v>211</v>
      </c>
      <c r="E8" s="26" t="s">
        <v>93</v>
      </c>
      <c r="M8" s="81"/>
      <c r="N8" s="80"/>
      <c r="O8" s="48"/>
      <c r="P8" s="47"/>
      <c r="Q8" s="75"/>
      <c r="R8" s="47"/>
      <c r="S8" s="95"/>
    </row>
    <row r="9" spans="1:23" x14ac:dyDescent="0.3">
      <c r="A9" s="25"/>
      <c r="B9" s="26" t="s">
        <v>55</v>
      </c>
      <c r="C9" s="26" t="s">
        <v>88</v>
      </c>
      <c r="D9" s="100" t="s">
        <v>205</v>
      </c>
      <c r="E9" s="26"/>
      <c r="M9" s="82" t="s">
        <v>163</v>
      </c>
      <c r="N9" s="74"/>
      <c r="O9" s="49" t="s">
        <v>152</v>
      </c>
      <c r="P9" s="83"/>
      <c r="Q9" s="91" t="s">
        <v>157</v>
      </c>
      <c r="R9" s="49"/>
      <c r="S9" s="98"/>
    </row>
    <row r="10" spans="1:23" x14ac:dyDescent="0.3">
      <c r="A10" s="25"/>
      <c r="B10" s="26" t="s">
        <v>53</v>
      </c>
      <c r="C10" s="26" t="s">
        <v>89</v>
      </c>
      <c r="D10" s="100" t="s">
        <v>41</v>
      </c>
      <c r="E10" s="26"/>
      <c r="M10" s="76"/>
      <c r="N10" s="77" t="s">
        <v>161</v>
      </c>
      <c r="O10" s="45" t="s">
        <v>158</v>
      </c>
      <c r="P10" s="78" t="s">
        <v>160</v>
      </c>
      <c r="Q10" s="92" t="s">
        <v>159</v>
      </c>
      <c r="R10" s="78"/>
      <c r="S10" s="94" t="s">
        <v>160</v>
      </c>
    </row>
    <row r="11" spans="1:23" x14ac:dyDescent="0.3">
      <c r="A11" s="25"/>
      <c r="B11" s="26" t="s">
        <v>54</v>
      </c>
      <c r="C11" s="26" t="s">
        <v>47</v>
      </c>
      <c r="D11" s="100" t="s">
        <v>42</v>
      </c>
      <c r="E11" s="26"/>
      <c r="M11" s="79">
        <v>1</v>
      </c>
      <c r="N11" s="80">
        <v>1</v>
      </c>
      <c r="O11" s="46">
        <v>1164</v>
      </c>
      <c r="P11" s="47">
        <f>O11</f>
        <v>1164</v>
      </c>
      <c r="Q11" s="90">
        <v>1664</v>
      </c>
      <c r="R11" s="46">
        <v>105.40517750231891</v>
      </c>
      <c r="S11" s="95">
        <f>SUM(Q11:R11)</f>
        <v>1769.405177502319</v>
      </c>
    </row>
    <row r="12" spans="1:23" x14ac:dyDescent="0.3">
      <c r="A12" s="25"/>
      <c r="B12" s="26" t="s">
        <v>93</v>
      </c>
      <c r="C12" s="26" t="s">
        <v>44</v>
      </c>
      <c r="D12" s="100" t="s">
        <v>94</v>
      </c>
      <c r="E12" s="26"/>
      <c r="M12" s="79" t="s">
        <v>164</v>
      </c>
      <c r="N12" s="80">
        <v>3.5</v>
      </c>
      <c r="O12" s="47">
        <v>2370</v>
      </c>
      <c r="P12" s="47">
        <f>O12/N12</f>
        <v>677.14285714285711</v>
      </c>
      <c r="Q12" s="75">
        <v>2370</v>
      </c>
      <c r="R12" s="47">
        <v>105.40517750231891</v>
      </c>
      <c r="S12" s="96">
        <f>SUM(Q12:R12)/N12</f>
        <v>707.25862214351969</v>
      </c>
    </row>
    <row r="13" spans="1:23" x14ac:dyDescent="0.3">
      <c r="A13" s="26"/>
      <c r="B13" s="26"/>
      <c r="C13" s="26" t="s">
        <v>46</v>
      </c>
      <c r="D13" s="100" t="s">
        <v>93</v>
      </c>
      <c r="E13" s="26"/>
      <c r="M13" s="79" t="s">
        <v>165</v>
      </c>
      <c r="N13" s="80">
        <v>8</v>
      </c>
      <c r="O13" s="47">
        <v>3356</v>
      </c>
      <c r="P13" s="46">
        <f>O13/N13</f>
        <v>419.5</v>
      </c>
      <c r="Q13" s="75">
        <v>3356</v>
      </c>
      <c r="R13" s="47">
        <v>210.81035500463781</v>
      </c>
      <c r="S13" s="97">
        <f>SUM(Q13:R13)/N13</f>
        <v>445.85129437557976</v>
      </c>
    </row>
    <row r="14" spans="1:23" x14ac:dyDescent="0.3">
      <c r="A14" s="27"/>
      <c r="B14" s="27"/>
      <c r="C14" s="27" t="s">
        <v>93</v>
      </c>
      <c r="D14" s="27"/>
      <c r="E14" s="27"/>
      <c r="M14" s="84" t="s">
        <v>166</v>
      </c>
      <c r="N14" s="69">
        <v>13</v>
      </c>
      <c r="O14" s="50">
        <v>3786</v>
      </c>
      <c r="P14" s="50">
        <f>O14/N14</f>
        <v>291.23076923076923</v>
      </c>
      <c r="Q14" s="93">
        <v>3786</v>
      </c>
      <c r="R14" s="50">
        <v>316.21553250695672</v>
      </c>
      <c r="S14" s="99">
        <f>SUM(Q14:R14)/N14</f>
        <v>315.55504096207363</v>
      </c>
    </row>
    <row r="15" spans="1:23" x14ac:dyDescent="0.3">
      <c r="M15" s="70"/>
      <c r="N15" s="16"/>
      <c r="O15" s="16"/>
      <c r="P15" s="16"/>
      <c r="Q15" s="16"/>
      <c r="R15" s="16"/>
      <c r="S15" s="16"/>
    </row>
    <row r="16" spans="1:23" x14ac:dyDescent="0.3">
      <c r="M16" s="208" t="s">
        <v>259</v>
      </c>
      <c r="N16" s="206"/>
      <c r="O16" s="206"/>
      <c r="P16" s="16"/>
      <c r="Q16" s="16"/>
      <c r="R16" s="16"/>
      <c r="S16" s="16"/>
    </row>
    <row r="17" spans="13:19" x14ac:dyDescent="0.3">
      <c r="M17" s="208" t="s">
        <v>260</v>
      </c>
      <c r="N17" s="206"/>
      <c r="O17" s="206"/>
      <c r="P17" s="16"/>
      <c r="Q17" s="16"/>
      <c r="R17" s="16"/>
      <c r="S17" s="16"/>
    </row>
    <row r="18" spans="13:19" x14ac:dyDescent="0.3">
      <c r="P18" s="16"/>
      <c r="Q18" s="16"/>
      <c r="R18" s="16"/>
      <c r="S18" s="16"/>
    </row>
    <row r="19" spans="13:19" x14ac:dyDescent="0.3">
      <c r="P19" s="16"/>
      <c r="Q19" s="16"/>
      <c r="R19" s="16"/>
      <c r="S19" s="16"/>
    </row>
    <row r="59" spans="1:97" x14ac:dyDescent="0.3">
      <c r="J59" s="16"/>
      <c r="K59" s="16"/>
      <c r="U59" s="16"/>
    </row>
    <row r="60" spans="1:97" x14ac:dyDescent="0.3">
      <c r="A60" s="66" t="s">
        <v>1</v>
      </c>
      <c r="B60" s="67">
        <v>0.03</v>
      </c>
      <c r="C60" s="67">
        <v>0.04</v>
      </c>
      <c r="D60" s="199" t="s">
        <v>179</v>
      </c>
      <c r="E60" s="16"/>
      <c r="F60" s="16"/>
      <c r="G60" s="16"/>
      <c r="L60" s="16"/>
      <c r="O60" s="16"/>
      <c r="P60" s="16"/>
      <c r="Q60" s="16"/>
      <c r="R60" s="16"/>
      <c r="T60" s="16"/>
      <c r="X60" s="16"/>
      <c r="Y60" s="16"/>
      <c r="Z60" s="16"/>
      <c r="AC60" s="16"/>
      <c r="AD60" s="16"/>
      <c r="AE60" s="16"/>
      <c r="AH60" s="16"/>
      <c r="AI60" s="16"/>
      <c r="AJ60" s="16"/>
      <c r="AM60" s="16"/>
      <c r="AN60" s="16"/>
      <c r="AO60" s="16"/>
      <c r="AR60" s="16"/>
      <c r="AS60" s="16"/>
      <c r="AT60" s="16"/>
      <c r="AW60" s="16"/>
      <c r="AX60" s="16"/>
      <c r="AY60" s="16"/>
      <c r="BB60" s="16"/>
      <c r="BC60" s="16"/>
      <c r="BD60" s="16"/>
      <c r="BG60" s="16"/>
      <c r="BH60" s="16"/>
      <c r="BI60" s="16"/>
      <c r="BL60" s="16"/>
      <c r="BM60" s="16"/>
      <c r="BN60" s="16"/>
      <c r="BQ60" s="16"/>
      <c r="BR60" s="16"/>
      <c r="BS60" s="16"/>
      <c r="BX60" s="16"/>
      <c r="BY60" s="16"/>
      <c r="BZ60" s="16"/>
      <c r="CC60" s="16"/>
      <c r="CD60" s="16"/>
      <c r="CE60" s="16"/>
      <c r="CH60" s="16"/>
      <c r="CI60" s="16"/>
      <c r="CJ60" s="16"/>
      <c r="CM60" s="16"/>
      <c r="CN60" s="16"/>
      <c r="CO60" s="16"/>
      <c r="CR60" s="16"/>
      <c r="CS60" s="16"/>
    </row>
    <row r="61" spans="1:97" x14ac:dyDescent="0.3">
      <c r="A61">
        <v>0</v>
      </c>
      <c r="B61" s="17">
        <f>B60</f>
        <v>0.03</v>
      </c>
      <c r="C61" s="17">
        <f>C60</f>
        <v>0.04</v>
      </c>
      <c r="D61" s="200">
        <v>3.5000000000000003E-2</v>
      </c>
    </row>
    <row r="62" spans="1:97" x14ac:dyDescent="0.3">
      <c r="A62">
        <v>1</v>
      </c>
      <c r="B62" s="17">
        <f t="shared" ref="B62:B125" si="0">B61</f>
        <v>0.03</v>
      </c>
      <c r="C62" s="17">
        <f t="shared" ref="C62:C125" si="1">C61</f>
        <v>0.04</v>
      </c>
      <c r="D62" s="200">
        <v>3.5000000000000003E-2</v>
      </c>
    </row>
    <row r="63" spans="1:97" x14ac:dyDescent="0.3">
      <c r="A63" s="16">
        <v>2</v>
      </c>
      <c r="B63" s="17">
        <f t="shared" si="0"/>
        <v>0.03</v>
      </c>
      <c r="C63" s="17">
        <f t="shared" si="1"/>
        <v>0.04</v>
      </c>
      <c r="D63" s="200">
        <v>3.5000000000000003E-2</v>
      </c>
    </row>
    <row r="64" spans="1:97" x14ac:dyDescent="0.3">
      <c r="A64" s="16">
        <v>3</v>
      </c>
      <c r="B64" s="17">
        <f t="shared" si="0"/>
        <v>0.03</v>
      </c>
      <c r="C64" s="17">
        <f t="shared" si="1"/>
        <v>0.04</v>
      </c>
      <c r="D64" s="200">
        <v>3.5000000000000003E-2</v>
      </c>
    </row>
    <row r="65" spans="1:4" x14ac:dyDescent="0.3">
      <c r="A65">
        <v>4</v>
      </c>
      <c r="B65" s="17">
        <f t="shared" si="0"/>
        <v>0.03</v>
      </c>
      <c r="C65" s="17">
        <f t="shared" si="1"/>
        <v>0.04</v>
      </c>
      <c r="D65" s="200">
        <v>3.5000000000000003E-2</v>
      </c>
    </row>
    <row r="66" spans="1:4" x14ac:dyDescent="0.3">
      <c r="A66">
        <v>5</v>
      </c>
      <c r="B66" s="17">
        <f t="shared" si="0"/>
        <v>0.03</v>
      </c>
      <c r="C66" s="17">
        <f t="shared" si="1"/>
        <v>0.04</v>
      </c>
      <c r="D66" s="200">
        <v>3.5000000000000003E-2</v>
      </c>
    </row>
    <row r="67" spans="1:4" x14ac:dyDescent="0.3">
      <c r="A67" s="16">
        <v>6</v>
      </c>
      <c r="B67" s="17">
        <f t="shared" si="0"/>
        <v>0.03</v>
      </c>
      <c r="C67" s="17">
        <f t="shared" si="1"/>
        <v>0.04</v>
      </c>
      <c r="D67" s="200">
        <v>3.5000000000000003E-2</v>
      </c>
    </row>
    <row r="68" spans="1:4" x14ac:dyDescent="0.3">
      <c r="A68" s="16">
        <v>7</v>
      </c>
      <c r="B68" s="17">
        <f t="shared" si="0"/>
        <v>0.03</v>
      </c>
      <c r="C68" s="17">
        <f t="shared" si="1"/>
        <v>0.04</v>
      </c>
      <c r="D68" s="200">
        <v>3.5000000000000003E-2</v>
      </c>
    </row>
    <row r="69" spans="1:4" x14ac:dyDescent="0.3">
      <c r="A69">
        <v>8</v>
      </c>
      <c r="B69" s="17">
        <f t="shared" si="0"/>
        <v>0.03</v>
      </c>
      <c r="C69" s="17">
        <f t="shared" si="1"/>
        <v>0.04</v>
      </c>
      <c r="D69" s="200">
        <v>3.5000000000000003E-2</v>
      </c>
    </row>
    <row r="70" spans="1:4" x14ac:dyDescent="0.3">
      <c r="A70">
        <v>9</v>
      </c>
      <c r="B70" s="17">
        <f t="shared" si="0"/>
        <v>0.03</v>
      </c>
      <c r="C70" s="17">
        <f t="shared" si="1"/>
        <v>0.04</v>
      </c>
      <c r="D70" s="200">
        <v>3.5000000000000003E-2</v>
      </c>
    </row>
    <row r="71" spans="1:4" x14ac:dyDescent="0.3">
      <c r="A71" s="16">
        <v>10</v>
      </c>
      <c r="B71" s="17">
        <f t="shared" si="0"/>
        <v>0.03</v>
      </c>
      <c r="C71" s="17">
        <f t="shared" si="1"/>
        <v>0.04</v>
      </c>
      <c r="D71" s="200">
        <v>3.5000000000000003E-2</v>
      </c>
    </row>
    <row r="72" spans="1:4" x14ac:dyDescent="0.3">
      <c r="A72" s="16">
        <v>11</v>
      </c>
      <c r="B72" s="17">
        <f t="shared" si="0"/>
        <v>0.03</v>
      </c>
      <c r="C72" s="17">
        <f t="shared" si="1"/>
        <v>0.04</v>
      </c>
      <c r="D72" s="200">
        <v>3.5000000000000003E-2</v>
      </c>
    </row>
    <row r="73" spans="1:4" x14ac:dyDescent="0.3">
      <c r="A73">
        <v>12</v>
      </c>
      <c r="B73" s="17">
        <f t="shared" si="0"/>
        <v>0.03</v>
      </c>
      <c r="C73" s="17">
        <f t="shared" si="1"/>
        <v>0.04</v>
      </c>
      <c r="D73" s="200">
        <v>3.5000000000000003E-2</v>
      </c>
    </row>
    <row r="74" spans="1:4" x14ac:dyDescent="0.3">
      <c r="A74">
        <v>13</v>
      </c>
      <c r="B74" s="17">
        <f t="shared" si="0"/>
        <v>0.03</v>
      </c>
      <c r="C74" s="17">
        <f t="shared" si="1"/>
        <v>0.04</v>
      </c>
      <c r="D74" s="200">
        <v>3.5000000000000003E-2</v>
      </c>
    </row>
    <row r="75" spans="1:4" x14ac:dyDescent="0.3">
      <c r="A75" s="16">
        <v>14</v>
      </c>
      <c r="B75" s="17">
        <f t="shared" si="0"/>
        <v>0.03</v>
      </c>
      <c r="C75" s="17">
        <f t="shared" si="1"/>
        <v>0.04</v>
      </c>
      <c r="D75" s="200">
        <v>3.5000000000000003E-2</v>
      </c>
    </row>
    <row r="76" spans="1:4" x14ac:dyDescent="0.3">
      <c r="A76" s="16">
        <v>15</v>
      </c>
      <c r="B76" s="17">
        <f t="shared" si="0"/>
        <v>0.03</v>
      </c>
      <c r="C76" s="17">
        <f t="shared" si="1"/>
        <v>0.04</v>
      </c>
      <c r="D76" s="200">
        <v>3.5000000000000003E-2</v>
      </c>
    </row>
    <row r="77" spans="1:4" x14ac:dyDescent="0.3">
      <c r="A77">
        <v>16</v>
      </c>
      <c r="B77" s="17">
        <f t="shared" si="0"/>
        <v>0.03</v>
      </c>
      <c r="C77" s="17">
        <f t="shared" si="1"/>
        <v>0.04</v>
      </c>
      <c r="D77" s="200">
        <v>3.5000000000000003E-2</v>
      </c>
    </row>
    <row r="78" spans="1:4" x14ac:dyDescent="0.3">
      <c r="A78">
        <v>17</v>
      </c>
      <c r="B78" s="17">
        <f t="shared" si="0"/>
        <v>0.03</v>
      </c>
      <c r="C78" s="17">
        <f t="shared" si="1"/>
        <v>0.04</v>
      </c>
      <c r="D78" s="200">
        <v>3.5000000000000003E-2</v>
      </c>
    </row>
    <row r="79" spans="1:4" x14ac:dyDescent="0.3">
      <c r="A79" s="16">
        <v>18</v>
      </c>
      <c r="B79" s="17">
        <f t="shared" si="0"/>
        <v>0.03</v>
      </c>
      <c r="C79" s="17">
        <f t="shared" si="1"/>
        <v>0.04</v>
      </c>
      <c r="D79" s="200">
        <v>3.5000000000000003E-2</v>
      </c>
    </row>
    <row r="80" spans="1:4" x14ac:dyDescent="0.3">
      <c r="A80" s="16">
        <v>19</v>
      </c>
      <c r="B80" s="17">
        <f t="shared" si="0"/>
        <v>0.03</v>
      </c>
      <c r="C80" s="17">
        <f t="shared" si="1"/>
        <v>0.04</v>
      </c>
      <c r="D80" s="200">
        <v>3.5000000000000003E-2</v>
      </c>
    </row>
    <row r="81" spans="1:4" x14ac:dyDescent="0.3">
      <c r="A81">
        <v>20</v>
      </c>
      <c r="B81" s="17">
        <f t="shared" si="0"/>
        <v>0.03</v>
      </c>
      <c r="C81" s="17">
        <f t="shared" si="1"/>
        <v>0.04</v>
      </c>
      <c r="D81" s="200">
        <v>3.5000000000000003E-2</v>
      </c>
    </row>
    <row r="82" spans="1:4" x14ac:dyDescent="0.3">
      <c r="A82">
        <v>21</v>
      </c>
      <c r="B82" s="17">
        <f t="shared" si="0"/>
        <v>0.03</v>
      </c>
      <c r="C82" s="17">
        <f t="shared" si="1"/>
        <v>0.04</v>
      </c>
      <c r="D82" s="200">
        <v>3.5000000000000003E-2</v>
      </c>
    </row>
    <row r="83" spans="1:4" x14ac:dyDescent="0.3">
      <c r="A83" s="16">
        <v>22</v>
      </c>
      <c r="B83" s="17">
        <f t="shared" si="0"/>
        <v>0.03</v>
      </c>
      <c r="C83" s="17">
        <f t="shared" si="1"/>
        <v>0.04</v>
      </c>
      <c r="D83" s="200">
        <v>3.5000000000000003E-2</v>
      </c>
    </row>
    <row r="84" spans="1:4" x14ac:dyDescent="0.3">
      <c r="A84" s="16">
        <v>23</v>
      </c>
      <c r="B84" s="17">
        <f t="shared" si="0"/>
        <v>0.03</v>
      </c>
      <c r="C84" s="17">
        <f t="shared" si="1"/>
        <v>0.04</v>
      </c>
      <c r="D84" s="200">
        <v>3.5000000000000003E-2</v>
      </c>
    </row>
    <row r="85" spans="1:4" x14ac:dyDescent="0.3">
      <c r="A85">
        <v>24</v>
      </c>
      <c r="B85" s="17">
        <f t="shared" si="0"/>
        <v>0.03</v>
      </c>
      <c r="C85" s="17">
        <f t="shared" si="1"/>
        <v>0.04</v>
      </c>
      <c r="D85" s="200">
        <v>3.5000000000000003E-2</v>
      </c>
    </row>
    <row r="86" spans="1:4" x14ac:dyDescent="0.3">
      <c r="A86">
        <v>25</v>
      </c>
      <c r="B86" s="17">
        <f t="shared" si="0"/>
        <v>0.03</v>
      </c>
      <c r="C86" s="17">
        <f t="shared" si="1"/>
        <v>0.04</v>
      </c>
      <c r="D86" s="200">
        <v>3.5000000000000003E-2</v>
      </c>
    </row>
    <row r="87" spans="1:4" x14ac:dyDescent="0.3">
      <c r="A87" s="16">
        <v>26</v>
      </c>
      <c r="B87" s="17">
        <f t="shared" si="0"/>
        <v>0.03</v>
      </c>
      <c r="C87" s="17">
        <f t="shared" si="1"/>
        <v>0.04</v>
      </c>
      <c r="D87" s="200">
        <v>3.5000000000000003E-2</v>
      </c>
    </row>
    <row r="88" spans="1:4" x14ac:dyDescent="0.3">
      <c r="A88" s="16">
        <v>27</v>
      </c>
      <c r="B88" s="17">
        <f t="shared" si="0"/>
        <v>0.03</v>
      </c>
      <c r="C88" s="17">
        <f t="shared" si="1"/>
        <v>0.04</v>
      </c>
      <c r="D88" s="200">
        <v>3.5000000000000003E-2</v>
      </c>
    </row>
    <row r="89" spans="1:4" x14ac:dyDescent="0.3">
      <c r="A89">
        <v>28</v>
      </c>
      <c r="B89" s="17">
        <f t="shared" si="0"/>
        <v>0.03</v>
      </c>
      <c r="C89" s="17">
        <f t="shared" si="1"/>
        <v>0.04</v>
      </c>
      <c r="D89" s="200">
        <v>3.5000000000000003E-2</v>
      </c>
    </row>
    <row r="90" spans="1:4" x14ac:dyDescent="0.3">
      <c r="A90">
        <v>29</v>
      </c>
      <c r="B90" s="17">
        <f t="shared" si="0"/>
        <v>0.03</v>
      </c>
      <c r="C90" s="17">
        <f t="shared" si="1"/>
        <v>0.04</v>
      </c>
      <c r="D90" s="200">
        <v>3.5000000000000003E-2</v>
      </c>
    </row>
    <row r="91" spans="1:4" x14ac:dyDescent="0.3">
      <c r="A91" s="16">
        <v>30</v>
      </c>
      <c r="B91" s="17">
        <f t="shared" si="0"/>
        <v>0.03</v>
      </c>
      <c r="C91" s="17">
        <f t="shared" si="1"/>
        <v>0.04</v>
      </c>
      <c r="D91" s="200">
        <v>3.5000000000000003E-2</v>
      </c>
    </row>
    <row r="92" spans="1:4" x14ac:dyDescent="0.3">
      <c r="A92" s="16">
        <v>31</v>
      </c>
      <c r="B92" s="17">
        <f t="shared" si="0"/>
        <v>0.03</v>
      </c>
      <c r="C92" s="17">
        <f t="shared" si="1"/>
        <v>0.04</v>
      </c>
      <c r="D92" s="200">
        <v>0.03</v>
      </c>
    </row>
    <row r="93" spans="1:4" x14ac:dyDescent="0.3">
      <c r="A93">
        <v>32</v>
      </c>
      <c r="B93" s="17">
        <f t="shared" si="0"/>
        <v>0.03</v>
      </c>
      <c r="C93" s="17">
        <f t="shared" si="1"/>
        <v>0.04</v>
      </c>
      <c r="D93" s="200">
        <v>0.03</v>
      </c>
    </row>
    <row r="94" spans="1:4" x14ac:dyDescent="0.3">
      <c r="A94">
        <v>33</v>
      </c>
      <c r="B94" s="17">
        <f t="shared" si="0"/>
        <v>0.03</v>
      </c>
      <c r="C94" s="17">
        <f t="shared" si="1"/>
        <v>0.04</v>
      </c>
      <c r="D94" s="200">
        <v>0.03</v>
      </c>
    </row>
    <row r="95" spans="1:4" x14ac:dyDescent="0.3">
      <c r="A95" s="16">
        <v>34</v>
      </c>
      <c r="B95" s="17">
        <f t="shared" si="0"/>
        <v>0.03</v>
      </c>
      <c r="C95" s="17">
        <f t="shared" si="1"/>
        <v>0.04</v>
      </c>
      <c r="D95" s="200">
        <v>0.03</v>
      </c>
    </row>
    <row r="96" spans="1:4" x14ac:dyDescent="0.3">
      <c r="A96" s="16">
        <v>35</v>
      </c>
      <c r="B96" s="17">
        <f t="shared" si="0"/>
        <v>0.03</v>
      </c>
      <c r="C96" s="17">
        <f t="shared" si="1"/>
        <v>0.04</v>
      </c>
      <c r="D96" s="200">
        <v>0.03</v>
      </c>
    </row>
    <row r="97" spans="1:4" x14ac:dyDescent="0.3">
      <c r="A97">
        <v>36</v>
      </c>
      <c r="B97" s="17">
        <f t="shared" si="0"/>
        <v>0.03</v>
      </c>
      <c r="C97" s="17">
        <f t="shared" si="1"/>
        <v>0.04</v>
      </c>
      <c r="D97" s="200">
        <v>0.03</v>
      </c>
    </row>
    <row r="98" spans="1:4" x14ac:dyDescent="0.3">
      <c r="A98">
        <v>37</v>
      </c>
      <c r="B98" s="17">
        <f t="shared" si="0"/>
        <v>0.03</v>
      </c>
      <c r="C98" s="17">
        <f t="shared" si="1"/>
        <v>0.04</v>
      </c>
      <c r="D98" s="200">
        <v>0.03</v>
      </c>
    </row>
    <row r="99" spans="1:4" x14ac:dyDescent="0.3">
      <c r="A99" s="16">
        <v>38</v>
      </c>
      <c r="B99" s="17">
        <f t="shared" si="0"/>
        <v>0.03</v>
      </c>
      <c r="C99" s="17">
        <f t="shared" si="1"/>
        <v>0.04</v>
      </c>
      <c r="D99" s="200">
        <v>0.03</v>
      </c>
    </row>
    <row r="100" spans="1:4" x14ac:dyDescent="0.3">
      <c r="A100" s="16">
        <v>39</v>
      </c>
      <c r="B100" s="17">
        <f t="shared" si="0"/>
        <v>0.03</v>
      </c>
      <c r="C100" s="17">
        <f t="shared" si="1"/>
        <v>0.04</v>
      </c>
      <c r="D100" s="200">
        <v>0.03</v>
      </c>
    </row>
    <row r="101" spans="1:4" x14ac:dyDescent="0.3">
      <c r="A101">
        <v>40</v>
      </c>
      <c r="B101" s="17">
        <f t="shared" si="0"/>
        <v>0.03</v>
      </c>
      <c r="C101" s="17">
        <f t="shared" si="1"/>
        <v>0.04</v>
      </c>
      <c r="D101" s="200">
        <v>0.03</v>
      </c>
    </row>
    <row r="102" spans="1:4" x14ac:dyDescent="0.3">
      <c r="A102">
        <v>41</v>
      </c>
      <c r="B102" s="17">
        <f t="shared" si="0"/>
        <v>0.03</v>
      </c>
      <c r="C102" s="17">
        <f t="shared" si="1"/>
        <v>0.04</v>
      </c>
      <c r="D102" s="200">
        <v>0.03</v>
      </c>
    </row>
    <row r="103" spans="1:4" x14ac:dyDescent="0.3">
      <c r="A103" s="16">
        <v>42</v>
      </c>
      <c r="B103" s="17">
        <f t="shared" si="0"/>
        <v>0.03</v>
      </c>
      <c r="C103" s="17">
        <f t="shared" si="1"/>
        <v>0.04</v>
      </c>
      <c r="D103" s="200">
        <v>0.03</v>
      </c>
    </row>
    <row r="104" spans="1:4" x14ac:dyDescent="0.3">
      <c r="A104" s="16">
        <v>43</v>
      </c>
      <c r="B104" s="17">
        <f t="shared" si="0"/>
        <v>0.03</v>
      </c>
      <c r="C104" s="17">
        <f t="shared" si="1"/>
        <v>0.04</v>
      </c>
      <c r="D104" s="200">
        <v>0.03</v>
      </c>
    </row>
    <row r="105" spans="1:4" x14ac:dyDescent="0.3">
      <c r="A105">
        <v>44</v>
      </c>
      <c r="B105" s="17">
        <f t="shared" si="0"/>
        <v>0.03</v>
      </c>
      <c r="C105" s="17">
        <f t="shared" si="1"/>
        <v>0.04</v>
      </c>
      <c r="D105" s="200">
        <v>0.03</v>
      </c>
    </row>
    <row r="106" spans="1:4" x14ac:dyDescent="0.3">
      <c r="A106">
        <v>45</v>
      </c>
      <c r="B106" s="17">
        <f t="shared" si="0"/>
        <v>0.03</v>
      </c>
      <c r="C106" s="17">
        <f t="shared" si="1"/>
        <v>0.04</v>
      </c>
      <c r="D106" s="200">
        <v>0.03</v>
      </c>
    </row>
    <row r="107" spans="1:4" x14ac:dyDescent="0.3">
      <c r="A107" s="16">
        <v>46</v>
      </c>
      <c r="B107" s="17">
        <f t="shared" si="0"/>
        <v>0.03</v>
      </c>
      <c r="C107" s="17">
        <f t="shared" si="1"/>
        <v>0.04</v>
      </c>
      <c r="D107" s="200">
        <v>0.03</v>
      </c>
    </row>
    <row r="108" spans="1:4" x14ac:dyDescent="0.3">
      <c r="A108" s="16">
        <v>47</v>
      </c>
      <c r="B108" s="17">
        <f t="shared" si="0"/>
        <v>0.03</v>
      </c>
      <c r="C108" s="17">
        <f t="shared" si="1"/>
        <v>0.04</v>
      </c>
      <c r="D108" s="200">
        <v>0.03</v>
      </c>
    </row>
    <row r="109" spans="1:4" x14ac:dyDescent="0.3">
      <c r="A109">
        <v>48</v>
      </c>
      <c r="B109" s="17">
        <f t="shared" si="0"/>
        <v>0.03</v>
      </c>
      <c r="C109" s="17">
        <f t="shared" si="1"/>
        <v>0.04</v>
      </c>
      <c r="D109" s="200">
        <v>0.03</v>
      </c>
    </row>
    <row r="110" spans="1:4" x14ac:dyDescent="0.3">
      <c r="A110">
        <v>49</v>
      </c>
      <c r="B110" s="17">
        <f t="shared" si="0"/>
        <v>0.03</v>
      </c>
      <c r="C110" s="17">
        <f t="shared" si="1"/>
        <v>0.04</v>
      </c>
      <c r="D110" s="200">
        <v>0.03</v>
      </c>
    </row>
    <row r="111" spans="1:4" x14ac:dyDescent="0.3">
      <c r="A111" s="16">
        <v>50</v>
      </c>
      <c r="B111" s="17">
        <f t="shared" si="0"/>
        <v>0.03</v>
      </c>
      <c r="C111" s="17">
        <f t="shared" si="1"/>
        <v>0.04</v>
      </c>
      <c r="D111" s="200">
        <v>0.03</v>
      </c>
    </row>
    <row r="112" spans="1:4" x14ac:dyDescent="0.3">
      <c r="A112" s="16">
        <v>51</v>
      </c>
      <c r="B112" s="17">
        <f t="shared" si="0"/>
        <v>0.03</v>
      </c>
      <c r="C112" s="17">
        <f t="shared" si="1"/>
        <v>0.04</v>
      </c>
      <c r="D112" s="200">
        <v>0.03</v>
      </c>
    </row>
    <row r="113" spans="1:4" x14ac:dyDescent="0.3">
      <c r="A113">
        <v>52</v>
      </c>
      <c r="B113" s="17">
        <f t="shared" si="0"/>
        <v>0.03</v>
      </c>
      <c r="C113" s="17">
        <f t="shared" si="1"/>
        <v>0.04</v>
      </c>
      <c r="D113" s="200">
        <v>0.03</v>
      </c>
    </row>
    <row r="114" spans="1:4" x14ac:dyDescent="0.3">
      <c r="A114">
        <v>53</v>
      </c>
      <c r="B114" s="17">
        <f t="shared" si="0"/>
        <v>0.03</v>
      </c>
      <c r="C114" s="17">
        <f t="shared" si="1"/>
        <v>0.04</v>
      </c>
      <c r="D114" s="200">
        <v>0.03</v>
      </c>
    </row>
    <row r="115" spans="1:4" x14ac:dyDescent="0.3">
      <c r="A115" s="16">
        <v>54</v>
      </c>
      <c r="B115" s="17">
        <f t="shared" si="0"/>
        <v>0.03</v>
      </c>
      <c r="C115" s="17">
        <f t="shared" si="1"/>
        <v>0.04</v>
      </c>
      <c r="D115" s="200">
        <v>0.03</v>
      </c>
    </row>
    <row r="116" spans="1:4" x14ac:dyDescent="0.3">
      <c r="A116" s="16">
        <v>55</v>
      </c>
      <c r="B116" s="17">
        <f t="shared" si="0"/>
        <v>0.03</v>
      </c>
      <c r="C116" s="17">
        <f t="shared" si="1"/>
        <v>0.04</v>
      </c>
      <c r="D116" s="200">
        <v>0.03</v>
      </c>
    </row>
    <row r="117" spans="1:4" x14ac:dyDescent="0.3">
      <c r="A117">
        <v>56</v>
      </c>
      <c r="B117" s="17">
        <f t="shared" si="0"/>
        <v>0.03</v>
      </c>
      <c r="C117" s="17">
        <f t="shared" si="1"/>
        <v>0.04</v>
      </c>
      <c r="D117" s="200">
        <v>0.03</v>
      </c>
    </row>
    <row r="118" spans="1:4" x14ac:dyDescent="0.3">
      <c r="A118">
        <v>57</v>
      </c>
      <c r="B118" s="17">
        <f t="shared" si="0"/>
        <v>0.03</v>
      </c>
      <c r="C118" s="17">
        <f t="shared" si="1"/>
        <v>0.04</v>
      </c>
      <c r="D118" s="200">
        <v>0.03</v>
      </c>
    </row>
    <row r="119" spans="1:4" x14ac:dyDescent="0.3">
      <c r="A119" s="16">
        <v>58</v>
      </c>
      <c r="B119" s="17">
        <f t="shared" si="0"/>
        <v>0.03</v>
      </c>
      <c r="C119" s="17">
        <f t="shared" si="1"/>
        <v>0.04</v>
      </c>
      <c r="D119" s="200">
        <v>0.03</v>
      </c>
    </row>
    <row r="120" spans="1:4" x14ac:dyDescent="0.3">
      <c r="A120" s="16">
        <v>59</v>
      </c>
      <c r="B120" s="17">
        <f t="shared" si="0"/>
        <v>0.03</v>
      </c>
      <c r="C120" s="17">
        <f t="shared" si="1"/>
        <v>0.04</v>
      </c>
      <c r="D120" s="200">
        <v>0.03</v>
      </c>
    </row>
    <row r="121" spans="1:4" x14ac:dyDescent="0.3">
      <c r="A121">
        <v>60</v>
      </c>
      <c r="B121" s="17">
        <f t="shared" si="0"/>
        <v>0.03</v>
      </c>
      <c r="C121" s="17">
        <f t="shared" si="1"/>
        <v>0.04</v>
      </c>
      <c r="D121" s="200">
        <v>0.03</v>
      </c>
    </row>
    <row r="122" spans="1:4" x14ac:dyDescent="0.3">
      <c r="A122">
        <v>61</v>
      </c>
      <c r="B122" s="17">
        <f t="shared" si="0"/>
        <v>0.03</v>
      </c>
      <c r="C122" s="17">
        <f t="shared" si="1"/>
        <v>0.04</v>
      </c>
      <c r="D122" s="200">
        <v>0.03</v>
      </c>
    </row>
    <row r="123" spans="1:4" x14ac:dyDescent="0.3">
      <c r="A123" s="16">
        <v>62</v>
      </c>
      <c r="B123" s="17">
        <f t="shared" si="0"/>
        <v>0.03</v>
      </c>
      <c r="C123" s="17">
        <f t="shared" si="1"/>
        <v>0.04</v>
      </c>
      <c r="D123" s="200">
        <v>0.03</v>
      </c>
    </row>
    <row r="124" spans="1:4" x14ac:dyDescent="0.3">
      <c r="A124" s="16">
        <v>63</v>
      </c>
      <c r="B124" s="17">
        <f t="shared" si="0"/>
        <v>0.03</v>
      </c>
      <c r="C124" s="17">
        <f t="shared" si="1"/>
        <v>0.04</v>
      </c>
      <c r="D124" s="200">
        <v>0.03</v>
      </c>
    </row>
    <row r="125" spans="1:4" x14ac:dyDescent="0.3">
      <c r="A125">
        <v>64</v>
      </c>
      <c r="B125" s="17">
        <f t="shared" si="0"/>
        <v>0.03</v>
      </c>
      <c r="C125" s="17">
        <f t="shared" si="1"/>
        <v>0.04</v>
      </c>
      <c r="D125" s="200">
        <v>0.03</v>
      </c>
    </row>
    <row r="126" spans="1:4" x14ac:dyDescent="0.3">
      <c r="A126">
        <v>65</v>
      </c>
      <c r="B126" s="17">
        <f t="shared" ref="B126:B160" si="2">B125</f>
        <v>0.03</v>
      </c>
      <c r="C126" s="17">
        <f t="shared" ref="C126:C160" si="3">C125</f>
        <v>0.04</v>
      </c>
      <c r="D126" s="200">
        <v>0.03</v>
      </c>
    </row>
    <row r="127" spans="1:4" x14ac:dyDescent="0.3">
      <c r="A127" s="16">
        <v>66</v>
      </c>
      <c r="B127" s="17">
        <f t="shared" si="2"/>
        <v>0.03</v>
      </c>
      <c r="C127" s="17">
        <f t="shared" si="3"/>
        <v>0.04</v>
      </c>
      <c r="D127" s="200">
        <v>0.03</v>
      </c>
    </row>
    <row r="128" spans="1:4" x14ac:dyDescent="0.3">
      <c r="A128" s="16">
        <v>67</v>
      </c>
      <c r="B128" s="17">
        <f t="shared" si="2"/>
        <v>0.03</v>
      </c>
      <c r="C128" s="17">
        <f t="shared" si="3"/>
        <v>0.04</v>
      </c>
      <c r="D128" s="200">
        <v>0.03</v>
      </c>
    </row>
    <row r="129" spans="1:4" x14ac:dyDescent="0.3">
      <c r="A129">
        <v>68</v>
      </c>
      <c r="B129" s="17">
        <f t="shared" si="2"/>
        <v>0.03</v>
      </c>
      <c r="C129" s="17">
        <f t="shared" si="3"/>
        <v>0.04</v>
      </c>
      <c r="D129" s="200">
        <v>0.03</v>
      </c>
    </row>
    <row r="130" spans="1:4" x14ac:dyDescent="0.3">
      <c r="A130">
        <v>69</v>
      </c>
      <c r="B130" s="17">
        <f t="shared" si="2"/>
        <v>0.03</v>
      </c>
      <c r="C130" s="17">
        <f t="shared" si="3"/>
        <v>0.04</v>
      </c>
      <c r="D130" s="200">
        <v>0.03</v>
      </c>
    </row>
    <row r="131" spans="1:4" x14ac:dyDescent="0.3">
      <c r="A131" s="16">
        <v>70</v>
      </c>
      <c r="B131" s="17">
        <f t="shared" si="2"/>
        <v>0.03</v>
      </c>
      <c r="C131" s="17">
        <f t="shared" si="3"/>
        <v>0.04</v>
      </c>
      <c r="D131" s="200">
        <v>0.03</v>
      </c>
    </row>
    <row r="132" spans="1:4" x14ac:dyDescent="0.3">
      <c r="A132" s="16">
        <v>71</v>
      </c>
      <c r="B132" s="17">
        <f t="shared" si="2"/>
        <v>0.03</v>
      </c>
      <c r="C132" s="17">
        <f t="shared" si="3"/>
        <v>0.04</v>
      </c>
      <c r="D132" s="200">
        <v>0.03</v>
      </c>
    </row>
    <row r="133" spans="1:4" x14ac:dyDescent="0.3">
      <c r="A133">
        <v>72</v>
      </c>
      <c r="B133" s="17">
        <f t="shared" si="2"/>
        <v>0.03</v>
      </c>
      <c r="C133" s="17">
        <f t="shared" si="3"/>
        <v>0.04</v>
      </c>
      <c r="D133" s="200">
        <v>0.03</v>
      </c>
    </row>
    <row r="134" spans="1:4" x14ac:dyDescent="0.3">
      <c r="A134">
        <v>73</v>
      </c>
      <c r="B134" s="17">
        <f t="shared" si="2"/>
        <v>0.03</v>
      </c>
      <c r="C134" s="17">
        <f t="shared" si="3"/>
        <v>0.04</v>
      </c>
      <c r="D134" s="200">
        <v>0.03</v>
      </c>
    </row>
    <row r="135" spans="1:4" x14ac:dyDescent="0.3">
      <c r="A135" s="16">
        <v>74</v>
      </c>
      <c r="B135" s="17">
        <f t="shared" si="2"/>
        <v>0.03</v>
      </c>
      <c r="C135" s="17">
        <f t="shared" si="3"/>
        <v>0.04</v>
      </c>
      <c r="D135" s="200">
        <v>0.03</v>
      </c>
    </row>
    <row r="136" spans="1:4" x14ac:dyDescent="0.3">
      <c r="A136" s="16">
        <v>75</v>
      </c>
      <c r="B136" s="17">
        <f t="shared" si="2"/>
        <v>0.03</v>
      </c>
      <c r="C136" s="17">
        <f t="shared" si="3"/>
        <v>0.04</v>
      </c>
      <c r="D136" s="200">
        <v>0.03</v>
      </c>
    </row>
    <row r="137" spans="1:4" x14ac:dyDescent="0.3">
      <c r="A137">
        <v>76</v>
      </c>
      <c r="B137" s="17">
        <f t="shared" si="2"/>
        <v>0.03</v>
      </c>
      <c r="C137" s="17">
        <f t="shared" si="3"/>
        <v>0.04</v>
      </c>
      <c r="D137" s="200">
        <v>2.5000000000000001E-2</v>
      </c>
    </row>
    <row r="138" spans="1:4" x14ac:dyDescent="0.3">
      <c r="A138">
        <v>77</v>
      </c>
      <c r="B138" s="17">
        <f t="shared" si="2"/>
        <v>0.03</v>
      </c>
      <c r="C138" s="17">
        <f t="shared" si="3"/>
        <v>0.04</v>
      </c>
      <c r="D138" s="200">
        <v>2.5000000000000001E-2</v>
      </c>
    </row>
    <row r="139" spans="1:4" x14ac:dyDescent="0.3">
      <c r="A139" s="16">
        <v>78</v>
      </c>
      <c r="B139" s="17">
        <f t="shared" si="2"/>
        <v>0.03</v>
      </c>
      <c r="C139" s="17">
        <f t="shared" si="3"/>
        <v>0.04</v>
      </c>
      <c r="D139" s="200">
        <v>2.5000000000000001E-2</v>
      </c>
    </row>
    <row r="140" spans="1:4" x14ac:dyDescent="0.3">
      <c r="A140" s="16">
        <v>79</v>
      </c>
      <c r="B140" s="17">
        <f t="shared" si="2"/>
        <v>0.03</v>
      </c>
      <c r="C140" s="17">
        <f t="shared" si="3"/>
        <v>0.04</v>
      </c>
      <c r="D140" s="200">
        <v>2.5000000000000001E-2</v>
      </c>
    </row>
    <row r="141" spans="1:4" x14ac:dyDescent="0.3">
      <c r="A141">
        <v>80</v>
      </c>
      <c r="B141" s="17">
        <f t="shared" si="2"/>
        <v>0.03</v>
      </c>
      <c r="C141" s="17">
        <f t="shared" si="3"/>
        <v>0.04</v>
      </c>
      <c r="D141" s="200">
        <v>2.5000000000000001E-2</v>
      </c>
    </row>
    <row r="142" spans="1:4" x14ac:dyDescent="0.3">
      <c r="A142">
        <v>81</v>
      </c>
      <c r="B142" s="17">
        <f t="shared" si="2"/>
        <v>0.03</v>
      </c>
      <c r="C142" s="17">
        <f t="shared" si="3"/>
        <v>0.04</v>
      </c>
      <c r="D142" s="200">
        <v>2.5000000000000001E-2</v>
      </c>
    </row>
    <row r="143" spans="1:4" x14ac:dyDescent="0.3">
      <c r="A143" s="16">
        <v>82</v>
      </c>
      <c r="B143" s="17">
        <f t="shared" si="2"/>
        <v>0.03</v>
      </c>
      <c r="C143" s="17">
        <f t="shared" si="3"/>
        <v>0.04</v>
      </c>
      <c r="D143" s="200">
        <v>2.5000000000000001E-2</v>
      </c>
    </row>
    <row r="144" spans="1:4" x14ac:dyDescent="0.3">
      <c r="A144" s="16">
        <v>83</v>
      </c>
      <c r="B144" s="17">
        <f t="shared" si="2"/>
        <v>0.03</v>
      </c>
      <c r="C144" s="17">
        <f t="shared" si="3"/>
        <v>0.04</v>
      </c>
      <c r="D144" s="200">
        <v>2.5000000000000001E-2</v>
      </c>
    </row>
    <row r="145" spans="1:4" x14ac:dyDescent="0.3">
      <c r="A145">
        <v>84</v>
      </c>
      <c r="B145" s="17">
        <f t="shared" si="2"/>
        <v>0.03</v>
      </c>
      <c r="C145" s="17">
        <f t="shared" si="3"/>
        <v>0.04</v>
      </c>
      <c r="D145" s="200">
        <v>2.5000000000000001E-2</v>
      </c>
    </row>
    <row r="146" spans="1:4" x14ac:dyDescent="0.3">
      <c r="A146">
        <v>85</v>
      </c>
      <c r="B146" s="17">
        <f t="shared" si="2"/>
        <v>0.03</v>
      </c>
      <c r="C146" s="17">
        <f t="shared" si="3"/>
        <v>0.04</v>
      </c>
      <c r="D146" s="200">
        <v>2.5000000000000001E-2</v>
      </c>
    </row>
    <row r="147" spans="1:4" x14ac:dyDescent="0.3">
      <c r="A147" s="16">
        <v>86</v>
      </c>
      <c r="B147" s="17">
        <f t="shared" si="2"/>
        <v>0.03</v>
      </c>
      <c r="C147" s="17">
        <f t="shared" si="3"/>
        <v>0.04</v>
      </c>
      <c r="D147" s="200">
        <v>2.5000000000000001E-2</v>
      </c>
    </row>
    <row r="148" spans="1:4" x14ac:dyDescent="0.3">
      <c r="A148" s="16">
        <v>87</v>
      </c>
      <c r="B148" s="17">
        <f t="shared" si="2"/>
        <v>0.03</v>
      </c>
      <c r="C148" s="17">
        <f t="shared" si="3"/>
        <v>0.04</v>
      </c>
      <c r="D148" s="200">
        <v>2.5000000000000001E-2</v>
      </c>
    </row>
    <row r="149" spans="1:4" x14ac:dyDescent="0.3">
      <c r="A149">
        <v>88</v>
      </c>
      <c r="B149" s="17">
        <f t="shared" si="2"/>
        <v>0.03</v>
      </c>
      <c r="C149" s="17">
        <f t="shared" si="3"/>
        <v>0.04</v>
      </c>
      <c r="D149" s="200">
        <v>2.5000000000000001E-2</v>
      </c>
    </row>
    <row r="150" spans="1:4" x14ac:dyDescent="0.3">
      <c r="A150">
        <v>89</v>
      </c>
      <c r="B150" s="17">
        <f t="shared" si="2"/>
        <v>0.03</v>
      </c>
      <c r="C150" s="17">
        <f t="shared" si="3"/>
        <v>0.04</v>
      </c>
      <c r="D150" s="200">
        <v>2.5000000000000001E-2</v>
      </c>
    </row>
    <row r="151" spans="1:4" x14ac:dyDescent="0.3">
      <c r="A151" s="16">
        <v>90</v>
      </c>
      <c r="B151" s="17">
        <f t="shared" si="2"/>
        <v>0.03</v>
      </c>
      <c r="C151" s="17">
        <f t="shared" si="3"/>
        <v>0.04</v>
      </c>
      <c r="D151" s="200">
        <v>2.5000000000000001E-2</v>
      </c>
    </row>
    <row r="152" spans="1:4" x14ac:dyDescent="0.3">
      <c r="A152" s="16">
        <v>91</v>
      </c>
      <c r="B152" s="17">
        <f t="shared" si="2"/>
        <v>0.03</v>
      </c>
      <c r="C152" s="17">
        <f t="shared" si="3"/>
        <v>0.04</v>
      </c>
      <c r="D152" s="200">
        <v>2.5000000000000001E-2</v>
      </c>
    </row>
    <row r="153" spans="1:4" x14ac:dyDescent="0.3">
      <c r="A153">
        <v>92</v>
      </c>
      <c r="B153" s="17">
        <f t="shared" si="2"/>
        <v>0.03</v>
      </c>
      <c r="C153" s="17">
        <f t="shared" si="3"/>
        <v>0.04</v>
      </c>
      <c r="D153" s="200">
        <v>2.5000000000000001E-2</v>
      </c>
    </row>
    <row r="154" spans="1:4" x14ac:dyDescent="0.3">
      <c r="A154">
        <v>93</v>
      </c>
      <c r="B154" s="17">
        <f t="shared" si="2"/>
        <v>0.03</v>
      </c>
      <c r="C154" s="17">
        <f t="shared" si="3"/>
        <v>0.04</v>
      </c>
      <c r="D154" s="200">
        <v>2.5000000000000001E-2</v>
      </c>
    </row>
    <row r="155" spans="1:4" x14ac:dyDescent="0.3">
      <c r="A155" s="16">
        <v>94</v>
      </c>
      <c r="B155" s="17">
        <f t="shared" si="2"/>
        <v>0.03</v>
      </c>
      <c r="C155" s="17">
        <f t="shared" si="3"/>
        <v>0.04</v>
      </c>
      <c r="D155" s="200">
        <v>2.5000000000000001E-2</v>
      </c>
    </row>
    <row r="156" spans="1:4" x14ac:dyDescent="0.3">
      <c r="A156" s="16">
        <v>95</v>
      </c>
      <c r="B156" s="17">
        <f t="shared" si="2"/>
        <v>0.03</v>
      </c>
      <c r="C156" s="17">
        <f t="shared" si="3"/>
        <v>0.04</v>
      </c>
      <c r="D156" s="200">
        <v>2.5000000000000001E-2</v>
      </c>
    </row>
    <row r="157" spans="1:4" x14ac:dyDescent="0.3">
      <c r="A157">
        <v>96</v>
      </c>
      <c r="B157" s="17">
        <f t="shared" si="2"/>
        <v>0.03</v>
      </c>
      <c r="C157" s="17">
        <f t="shared" si="3"/>
        <v>0.04</v>
      </c>
      <c r="D157" s="200">
        <v>2.5000000000000001E-2</v>
      </c>
    </row>
    <row r="158" spans="1:4" x14ac:dyDescent="0.3">
      <c r="A158">
        <v>97</v>
      </c>
      <c r="B158" s="17">
        <f t="shared" si="2"/>
        <v>0.03</v>
      </c>
      <c r="C158" s="17">
        <f t="shared" si="3"/>
        <v>0.04</v>
      </c>
      <c r="D158" s="200">
        <v>2.5000000000000001E-2</v>
      </c>
    </row>
    <row r="159" spans="1:4" x14ac:dyDescent="0.3">
      <c r="A159" s="16">
        <v>98</v>
      </c>
      <c r="B159" s="17">
        <f t="shared" si="2"/>
        <v>0.03</v>
      </c>
      <c r="C159" s="17">
        <f t="shared" si="3"/>
        <v>0.04</v>
      </c>
      <c r="D159" s="200">
        <v>2.5000000000000001E-2</v>
      </c>
    </row>
    <row r="160" spans="1:4" x14ac:dyDescent="0.3">
      <c r="A160" s="16">
        <v>99</v>
      </c>
      <c r="B160" s="17">
        <f t="shared" si="2"/>
        <v>0.03</v>
      </c>
      <c r="C160" s="17">
        <f t="shared" si="3"/>
        <v>0.04</v>
      </c>
      <c r="D160" s="200">
        <v>2.5000000000000001E-2</v>
      </c>
    </row>
  </sheetData>
  <mergeCells count="1">
    <mergeCell ref="U1:W1"/>
  </mergeCells>
  <dataValidations disablePrompts="1" count="1">
    <dataValidation type="list" allowBlank="1" showInputMessage="1" showErrorMessage="1" sqref="J4" xr:uid="{00000000-0002-0000-0700-000000000000}">
      <formula1>"YES, NO"</formula1>
    </dataValidation>
  </dataValidations>
  <pageMargins left="0.7" right="0.7" top="0.75" bottom="0.75" header="0.3" footer="0.3"/>
  <pageSetup paperSize="9"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Introduction</vt:lpstr>
      <vt:lpstr>Data entry</vt:lpstr>
      <vt:lpstr>Cashflow</vt:lpstr>
      <vt:lpstr>Results</vt:lpstr>
      <vt:lpstr>FAQs</vt:lpstr>
      <vt:lpstr>Income data</vt:lpstr>
      <vt:lpstr>Cost data</vt:lpstr>
      <vt:lpstr>Income forgone and BPS data</vt:lpstr>
      <vt:lpstr>Lookup Tables</vt:lpstr>
      <vt:lpstr>Disclaimer of warranty</vt:lpstr>
      <vt:lpstr>Version control</vt:lpstr>
      <vt:lpstr>England</vt:lpstr>
      <vt:lpstr>Northern_Ireland</vt:lpstr>
      <vt:lpstr>Scotland</vt:lpstr>
      <vt:lpstr>Select_Farm_Type</vt:lpstr>
      <vt:lpstr>VERSION_1</vt:lpstr>
      <vt:lpstr>VERSION_1_COSTS</vt:lpstr>
      <vt:lpstr>VERSION_2</vt:lpstr>
      <vt:lpstr>VERSION_2_COSTS</vt:lpstr>
      <vt:lpstr>VERSION_3</vt:lpstr>
      <vt:lpstr>VERSION_3_COSTS</vt:lpstr>
      <vt:lpstr>Wales</vt:lpstr>
    </vt:vector>
  </TitlesOfParts>
  <Company>Forestry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Authenticated User</dc:creator>
  <cp:lastModifiedBy>Andrew Baker</cp:lastModifiedBy>
  <cp:lastPrinted>2013-07-26T13:54:53Z</cp:lastPrinted>
  <dcterms:created xsi:type="dcterms:W3CDTF">2013-07-02T11:45:37Z</dcterms:created>
  <dcterms:modified xsi:type="dcterms:W3CDTF">2025-07-28T14:45:51Z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